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30" windowWidth="12120" windowHeight="8580" tabRatio="920" firstSheet="3" activeTab="6"/>
  </bookViews>
  <sheets>
    <sheet name="2019 Certified Estimate" sheetId="1" r:id="rId1"/>
    <sheet name="Certified Estimate for 2019" sheetId="2" r:id="rId2"/>
    <sheet name="2019 Certified Values" sheetId="3" r:id="rId3"/>
    <sheet name="2019 Taxing Unit CERTIFICATIONS" sheetId="4" r:id="rId4"/>
    <sheet name="Withheld Estimated Value " sheetId="5" r:id="rId5"/>
    <sheet name="Withheld Certified Value" sheetId="6" r:id="rId6"/>
    <sheet name="Supp Cert" sheetId="7" r:id="rId7"/>
    <sheet name="Old Cert Sheet" sheetId="8" r:id="rId8"/>
    <sheet name="Sheet1" sheetId="9" r:id="rId9"/>
    <sheet name="Waskom Recert" sheetId="10" r:id="rId10"/>
    <sheet name="Waskom Recert 2" sheetId="11" r:id="rId11"/>
  </sheets>
  <definedNames>
    <definedName name="_xlnm.Print_Area" localSheetId="0">'2019 Certified Estimate'!$A$1:$J$856</definedName>
    <definedName name="_xlnm.Print_Area" localSheetId="2">'2019 Certified Values'!$A$494:$K$531</definedName>
    <definedName name="_xlnm.Print_Area" localSheetId="3">'2019 Taxing Unit CERTIFICATIONS'!$A$679:$H$774</definedName>
    <definedName name="_xlnm.Print_Area" localSheetId="1">'Certified Estimate for 2019'!$A$416:$H$456</definedName>
    <definedName name="_xlnm.Print_Area" localSheetId="6">'Supp Cert'!$A$791:$G$835</definedName>
    <definedName name="_xlnm.Print_Area" localSheetId="9">'Waskom Recert'!$A$723:$K$759</definedName>
    <definedName name="_xlnm.Print_Area" localSheetId="10">'Waskom Recert 2'!$A$865:$H$911</definedName>
    <definedName name="_xlnm.Print_Area" localSheetId="5">'Withheld Certified Value'!$A$1:$D$87</definedName>
  </definedNames>
  <calcPr fullCalcOnLoad="1"/>
</workbook>
</file>

<file path=xl/sharedStrings.xml><?xml version="1.0" encoding="utf-8"?>
<sst xmlns="http://schemas.openxmlformats.org/spreadsheetml/2006/main" count="5397" uniqueCount="211">
  <si>
    <t>Elysian Fields ISD</t>
  </si>
  <si>
    <t>Hallsville ISD</t>
  </si>
  <si>
    <t>Harleton ISD</t>
  </si>
  <si>
    <t>Karnack ISD</t>
  </si>
  <si>
    <t>Marshall ISD</t>
  </si>
  <si>
    <t>Waskom ISD</t>
  </si>
  <si>
    <t>City of Marshall</t>
  </si>
  <si>
    <t>City of Waskom</t>
  </si>
  <si>
    <t>Harrison County</t>
  </si>
  <si>
    <t>Elysian  Fields  Independent  School  District (Harrison County)</t>
  </si>
  <si>
    <t>following  information is a true and correct  summary of that portion  of the appraisal roll  of the  Harrison</t>
  </si>
  <si>
    <t>Central  Appraisal  District; which is taxable by this Taxing Unit, and constitutes the appraisal roll for this</t>
  </si>
  <si>
    <t>Taxing Unit."</t>
  </si>
  <si>
    <t>Total Market Value</t>
  </si>
  <si>
    <t>(LESS PRODUCTIVITY LOSS EQUALS)</t>
  </si>
  <si>
    <t>Total Appraised Value</t>
  </si>
  <si>
    <t>Total Taxable Value</t>
  </si>
  <si>
    <t>Number of Accounts</t>
  </si>
  <si>
    <t>New Value</t>
  </si>
  <si>
    <t>Ceiling Receivable</t>
  </si>
  <si>
    <t>Chief Appraiser</t>
  </si>
  <si>
    <t>Date</t>
  </si>
  <si>
    <t>Received by</t>
  </si>
  <si>
    <t>Hallsville  Independent  School  District</t>
  </si>
  <si>
    <t>Harleton  Independent  School  District</t>
  </si>
  <si>
    <t>Karnack  Independent  School  District</t>
  </si>
  <si>
    <t>Marshall  Independent  School  District</t>
  </si>
  <si>
    <t>Waskom  Independent  School  District</t>
  </si>
  <si>
    <t>City  of  Hallsville</t>
  </si>
  <si>
    <t>City  of  Marshall</t>
  </si>
  <si>
    <t>City  of  Waskom</t>
  </si>
  <si>
    <t>Harrison  County</t>
  </si>
  <si>
    <t>Contract</t>
  </si>
  <si>
    <t>Staff</t>
  </si>
  <si>
    <t>Combined</t>
  </si>
  <si>
    <t>Property Category</t>
  </si>
  <si>
    <t>A-Single Family</t>
  </si>
  <si>
    <t>B-Multi-Family</t>
  </si>
  <si>
    <t>C-Vacant Land</t>
  </si>
  <si>
    <t>D-Acreage</t>
  </si>
  <si>
    <t>F-Comm/Ind Real</t>
  </si>
  <si>
    <t>G-Gas/Oil/Mineral</t>
  </si>
  <si>
    <t>J-Utility</t>
  </si>
  <si>
    <t>L-Comm/Ind Personal</t>
  </si>
  <si>
    <t>M-MH/Aircraft</t>
  </si>
  <si>
    <t>O-Real Inventory</t>
  </si>
  <si>
    <t>X-Exempt</t>
  </si>
  <si>
    <t>Total Market</t>
  </si>
  <si>
    <t>Less:</t>
  </si>
  <si>
    <t>Productivity Loss</t>
  </si>
  <si>
    <t>Total Appraised</t>
  </si>
  <si>
    <t>Abatement</t>
  </si>
  <si>
    <t>Total Exemptions</t>
  </si>
  <si>
    <t>State HMSTD</t>
  </si>
  <si>
    <t>State Over 65</t>
  </si>
  <si>
    <t>State DISAB</t>
  </si>
  <si>
    <t>Veteran Disability</t>
  </si>
  <si>
    <t>20% HMSTD</t>
  </si>
  <si>
    <t>Optional Over 65</t>
  </si>
  <si>
    <t>Optional DISAB</t>
  </si>
  <si>
    <t>Total Taxable</t>
  </si>
  <si>
    <t>Ceiling Taxable Value</t>
  </si>
  <si>
    <t>Revenue Estimates</t>
  </si>
  <si>
    <t>X-Exempt/Protested</t>
  </si>
  <si>
    <t>X-Exempt/Protest</t>
  </si>
  <si>
    <t>City of Hallsville</t>
  </si>
  <si>
    <t>(Harrison &amp; Panola)</t>
  </si>
  <si>
    <t>% +/-</t>
  </si>
  <si>
    <t>H&amp;P-CAD Taxable</t>
  </si>
  <si>
    <t>(LESS TOTAL, PARTIAL EXEMPTIONS, HOMESTEAD CAP AND ABATEMENTS EQUALS)</t>
  </si>
  <si>
    <t>HMSTD 10% cap Loss</t>
  </si>
  <si>
    <t>% Total</t>
  </si>
  <si>
    <t>Value lost to 10% Homestead Cap</t>
  </si>
  <si>
    <t>Less Minimum Value Loss</t>
  </si>
  <si>
    <t>(LESS TOTAL, PARTIAL EXEMPTIONS, AND ABATEMENTS EQUALS)</t>
  </si>
  <si>
    <t>(LESS MINIMUM VALUE, HOMESTEAD CAP &amp; PRODUCTIVITY LOSS EQUALS)</t>
  </si>
  <si>
    <t>Total ESTIMATED Taxable Value</t>
  </si>
  <si>
    <t>Less: Minimum Value Ex.</t>
  </si>
  <si>
    <t>Freeport &amp; Pollution Control Exemptions</t>
  </si>
  <si>
    <t>Harrison County Emergency Services District #1</t>
  </si>
  <si>
    <t>(LESS PRODUCTIVITY LOSS and HOMESTEAD CAP - EQUALS)</t>
  </si>
  <si>
    <t>(LESS TOTAL, PARTIAL EXEMPTIONS, POLLUTION CONTROL AND ABATEMENTS - EQUALS)</t>
  </si>
  <si>
    <t>H Cnty ESD #3</t>
  </si>
  <si>
    <t>Formerly: H Cnty Rural Fire Dist #1</t>
  </si>
  <si>
    <t>Formerly Gill Rural Fire &amp; Grange Hall Rural Fire</t>
  </si>
  <si>
    <t>Formerly Nesbitt Fire</t>
  </si>
  <si>
    <t>H Cnty ESD #4</t>
  </si>
  <si>
    <t>H Cnty ESD #2</t>
  </si>
  <si>
    <t>H Cnty ESD #1</t>
  </si>
  <si>
    <t>Harrison County Emergency Service District #2</t>
  </si>
  <si>
    <t>Harrison County Emergency Service District #4</t>
  </si>
  <si>
    <t>Harrison County Emergency Service District #3</t>
  </si>
  <si>
    <t>2005 Certified</t>
  </si>
  <si>
    <t>2005 Total</t>
  </si>
  <si>
    <t>ARS-P&amp;A Taxable</t>
  </si>
  <si>
    <t>Complex</t>
  </si>
  <si>
    <t>CAD</t>
  </si>
  <si>
    <t>Elysian  Fields  Independent  School  District (Harrison County Only)</t>
  </si>
  <si>
    <t>2006 Certified</t>
  </si>
  <si>
    <t>2006 Total</t>
  </si>
  <si>
    <t>2005 Adopted/2006 Revenue Neutral Tax Rate</t>
  </si>
  <si>
    <t>municipality and school district participating in the appraisal district an estimate of the taxable value</t>
  </si>
  <si>
    <t>of property in that taxing unit.</t>
  </si>
  <si>
    <r>
      <t xml:space="preserve">Central  Appraisal  District; which is </t>
    </r>
    <r>
      <rPr>
        <b/>
        <u val="single"/>
        <sz val="10"/>
        <rFont val="Arial"/>
        <family val="2"/>
      </rPr>
      <t>estimated</t>
    </r>
    <r>
      <rPr>
        <sz val="10"/>
        <rFont val="Arial"/>
        <family val="2"/>
      </rPr>
      <t xml:space="preserve"> to be taxable by this Taxing Unit."</t>
    </r>
  </si>
  <si>
    <t>of property in that taxing unit."</t>
  </si>
  <si>
    <t>Harrison County Emergency Services District #4</t>
  </si>
  <si>
    <t>Harrison County Emergency Services District #3</t>
  </si>
  <si>
    <t>Harrison County Emergency Services District #2</t>
  </si>
  <si>
    <t>City of Longview</t>
  </si>
  <si>
    <t>Less: Minimum Value Loss</t>
  </si>
  <si>
    <t>New Diana ISD</t>
  </si>
  <si>
    <t>Ore City ISD</t>
  </si>
  <si>
    <t>New Diana  Independent  School  District</t>
  </si>
  <si>
    <t>Ore City  Independent  School  District</t>
  </si>
  <si>
    <t>City  of  Longview</t>
  </si>
  <si>
    <t>(Harrison County Only)</t>
  </si>
  <si>
    <r>
      <t>Estimated</t>
    </r>
    <r>
      <rPr>
        <sz val="10"/>
        <rFont val="Arial"/>
        <family val="2"/>
      </rPr>
      <t xml:space="preserve"> Total Market Value</t>
    </r>
  </si>
  <si>
    <r>
      <t xml:space="preserve">Estimated </t>
    </r>
    <r>
      <rPr>
        <sz val="10"/>
        <rFont val="Arial"/>
        <family val="2"/>
      </rPr>
      <t>Total Market Value</t>
    </r>
  </si>
  <si>
    <r>
      <t xml:space="preserve">Estimated </t>
    </r>
    <r>
      <rPr>
        <sz val="10"/>
        <rFont val="Arial"/>
        <family val="2"/>
      </rPr>
      <t>Total Appraised Value</t>
    </r>
  </si>
  <si>
    <r>
      <t>Estimated</t>
    </r>
    <r>
      <rPr>
        <sz val="10"/>
        <rFont val="Arial"/>
        <family val="2"/>
      </rPr>
      <t xml:space="preserve"> Total Appraised Value</t>
    </r>
  </si>
  <si>
    <t>Estimated Number of Accounts</t>
  </si>
  <si>
    <t>Estimated New Value</t>
  </si>
  <si>
    <t>Estimated Taxable Value of 65+ Ceiling Properties</t>
  </si>
  <si>
    <t>Estimated Ceiling Receivable</t>
  </si>
  <si>
    <t>Estimated Value lost to 10% Homestead Cap</t>
  </si>
  <si>
    <t>Estimated Total Taxable Value</t>
  </si>
  <si>
    <r>
      <t>Estimated</t>
    </r>
    <r>
      <rPr>
        <b/>
        <sz val="12"/>
        <rFont val="Arial"/>
        <family val="2"/>
      </rPr>
      <t xml:space="preserve"> Total Taxable Value</t>
    </r>
  </si>
  <si>
    <t>Less: Minimum Value Exemptions</t>
  </si>
  <si>
    <t>Abatements</t>
  </si>
  <si>
    <t>VALUE WITHHELD FOR ESTIMATED AMOUNTS</t>
  </si>
  <si>
    <t>ENTITY</t>
  </si>
  <si>
    <t>MINERAL</t>
  </si>
  <si>
    <t>IND/PP</t>
  </si>
  <si>
    <t>% WITHHELD</t>
  </si>
  <si>
    <t>Marshall City</t>
  </si>
  <si>
    <t>Hallsville City</t>
  </si>
  <si>
    <t>Waskom City</t>
  </si>
  <si>
    <t>Longview City</t>
  </si>
  <si>
    <t>Elysian ISD</t>
  </si>
  <si>
    <t>ESD #1</t>
  </si>
  <si>
    <t>ESD #2</t>
  </si>
  <si>
    <t>ESD #3</t>
  </si>
  <si>
    <t>ESD #4</t>
  </si>
  <si>
    <t>TOTALS</t>
  </si>
  <si>
    <t>LESS SUIT VL</t>
  </si>
  <si>
    <t>% TOTAL WH</t>
  </si>
  <si>
    <t>TOTAL WH</t>
  </si>
  <si>
    <t>VALUE WITHHELD FOR CERTIFIED AMOUNTS</t>
  </si>
  <si>
    <t>Formerly: HC Rural FD #1</t>
  </si>
  <si>
    <t>Formerly: Gill &amp; Grange Hall RFD</t>
  </si>
  <si>
    <t>Received By</t>
  </si>
  <si>
    <t>Ceiling Taxable</t>
  </si>
  <si>
    <t>Ore City Independent  School  District</t>
  </si>
  <si>
    <r>
      <t xml:space="preserve">following  information is a true and correct  summary of that portion  of the </t>
    </r>
    <r>
      <rPr>
        <b/>
        <sz val="10"/>
        <rFont val="Arial"/>
        <family val="2"/>
      </rPr>
      <t>supplemental</t>
    </r>
    <r>
      <rPr>
        <sz val="10"/>
        <rFont val="Arial"/>
        <family val="2"/>
      </rPr>
      <t xml:space="preserve"> </t>
    </r>
  </si>
  <si>
    <r>
      <t xml:space="preserve">and constitutes the supplemental </t>
    </r>
    <r>
      <rPr>
        <sz val="10"/>
        <rFont val="Arial"/>
        <family val="2"/>
      </rPr>
      <t>appraisal roll for this Taxing Unit."</t>
    </r>
  </si>
  <si>
    <t xml:space="preserve">appraisal roll of the Harrison Central  Appraisal  District; which is taxable by this Taxing Unit, </t>
  </si>
  <si>
    <t>Pollution Control Exemptions</t>
  </si>
  <si>
    <t>Constitutional Exemptions</t>
  </si>
  <si>
    <t>H Cnty ESD #5</t>
  </si>
  <si>
    <t>Harrison County Emergency Services District #5</t>
  </si>
  <si>
    <t>ESD #5</t>
  </si>
  <si>
    <t>TOTAL WH ESTIMATE</t>
  </si>
  <si>
    <r>
      <t xml:space="preserve">Elysian  Fields  Independent  School  District </t>
    </r>
    <r>
      <rPr>
        <b/>
        <i/>
        <sz val="10"/>
        <rFont val="Arial"/>
        <family val="2"/>
      </rPr>
      <t>(Harrison County Only)</t>
    </r>
  </si>
  <si>
    <r>
      <t xml:space="preserve">New Diana  Independent  School  District  </t>
    </r>
    <r>
      <rPr>
        <b/>
        <i/>
        <sz val="10"/>
        <rFont val="Arial"/>
        <family val="2"/>
      </rPr>
      <t>(Harrison County Only)</t>
    </r>
  </si>
  <si>
    <r>
      <t xml:space="preserve">Ore City Independent School District  </t>
    </r>
    <r>
      <rPr>
        <b/>
        <i/>
        <sz val="10"/>
        <rFont val="Arial"/>
        <family val="2"/>
      </rPr>
      <t>(Harrison County Only)</t>
    </r>
  </si>
  <si>
    <r>
      <t xml:space="preserve">City  of  Longview  </t>
    </r>
    <r>
      <rPr>
        <b/>
        <i/>
        <sz val="10"/>
        <rFont val="Arial"/>
        <family val="2"/>
      </rPr>
      <t>(Harrison County Only)</t>
    </r>
  </si>
  <si>
    <t>H Cnty ESD #6</t>
  </si>
  <si>
    <t>H Cnty ESD #7</t>
  </si>
  <si>
    <t>H Cnty ESD #8</t>
  </si>
  <si>
    <t>26.01(e) "By April 30, the chief appraiser shall prepare and certify to the assessor for each county,</t>
  </si>
  <si>
    <t>26.01(e) By April 30, the chief appraiser shall prepare and certify to the assessor for each county,</t>
  </si>
  <si>
    <t>Harrison County Emergency Services District #6</t>
  </si>
  <si>
    <t>Harrison County Emergency Services District #7</t>
  </si>
  <si>
    <t>Harrison County Emergency Services District #8</t>
  </si>
  <si>
    <t>HMSTD 10% Cap Loss</t>
  </si>
  <si>
    <t>MINERAL PROPERTY   (LATE PROTESTS)</t>
  </si>
  <si>
    <t>INDUSTRIAL/PERSONAL PROPERTY   (LATE PROTESTS)</t>
  </si>
  <si>
    <t xml:space="preserve">MINERAL PROPERTY   </t>
  </si>
  <si>
    <t xml:space="preserve">INDUSTRIAL/PERSONAL PROPERTY   </t>
  </si>
  <si>
    <t>ESD #6</t>
  </si>
  <si>
    <t>ESD #7</t>
  </si>
  <si>
    <t>ESD #8</t>
  </si>
  <si>
    <t>REAL ESTATE   (LATE PROTESTS)</t>
  </si>
  <si>
    <t>2011 CERTIFIED ESTIMATED VALUE</t>
  </si>
  <si>
    <t>H Cnty ESD #9</t>
  </si>
  <si>
    <t>Revenue Neutral Rate</t>
  </si>
  <si>
    <t>Harrison County Emergency Services District #9</t>
  </si>
  <si>
    <t>2013 Total</t>
  </si>
  <si>
    <t>2014 - 25.19N</t>
  </si>
  <si>
    <t>2014 Total</t>
  </si>
  <si>
    <t>2014 CERTIFIED ESTIMATED VALUE</t>
  </si>
  <si>
    <t>2014 CERTIFIED VALUE</t>
  </si>
  <si>
    <t>2014 CERTIFIED CERTIFIED VALUE</t>
  </si>
  <si>
    <t>2013 Certified</t>
  </si>
  <si>
    <t>"I, Robert Lisman, Chief Appraiser for the Harrison Central Appraisal District solemnly swear that the</t>
  </si>
  <si>
    <t>2014 Certified</t>
  </si>
  <si>
    <t>2014 Adpoted/2014 Revenue Neutral Tax Rate</t>
  </si>
  <si>
    <t>2014 Adopted/2014 Revenue Neutral Tax Rate</t>
  </si>
  <si>
    <t xml:space="preserve"> </t>
  </si>
  <si>
    <t xml:space="preserve">    </t>
  </si>
  <si>
    <t>2018 Certified</t>
  </si>
  <si>
    <t xml:space="preserve">  </t>
  </si>
  <si>
    <t>2019 Certified</t>
  </si>
  <si>
    <t>2019  Certified</t>
  </si>
  <si>
    <t>2019 Total</t>
  </si>
  <si>
    <t>2019 Adpoted/2019 Revenue Neutral Tax Rate</t>
  </si>
  <si>
    <t>2019 Adopted/2019 Revenue Neutral Tax Rate</t>
  </si>
  <si>
    <t>2019 - 25.19N</t>
  </si>
  <si>
    <t>NOTE:  July 25, 2019 you will receive 2019 certified values for tax rate adoption procedures.</t>
  </si>
  <si>
    <t>Excel\Certified Values\2019 Certified Values</t>
  </si>
  <si>
    <t>2019 SUPPLEMENTAL CERTIFICATION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</si>
</sst>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#,##0.0_);[Red]\(#,##0.0\)"/>
    <numFmt numFmtId="167" formatCode="0.0"/>
    <numFmt numFmtId="168" formatCode="#,##0.000_);[Red]\(#,##0.000\)"/>
    <numFmt numFmtId="169" formatCode="#,##0.0000_);[Red]\(#,##0.0000\)"/>
    <numFmt numFmtId="170" formatCode="#,##0.00000_);[Red]\(#,##0.00000\)"/>
    <numFmt numFmtId="171" formatCode="0.00000"/>
    <numFmt numFmtId="172" formatCode="0.000"/>
    <numFmt numFmtId="173" formatCode="0.0000"/>
    <numFmt numFmtId="174" formatCode="_(* #,##0.0_);_(* \(#,##0.0\);_(* &quot;-&quot;??_);_(@_)"/>
    <numFmt numFmtId="175" formatCode="_(* #,##0_);_(* \(#,##0\);_(* &quot;-&quot;??_);_(@_)"/>
    <numFmt numFmtId="176" formatCode="00"/>
    <numFmt numFmtId="177" formatCode="&quot;$&quot;#,##0.0_);[Red]\(&quot;$&quot;#,##0.0\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%"/>
    <numFmt numFmtId="182" formatCode="0.0000%"/>
    <numFmt numFmtId="183" formatCode="#,##0.000000_);[Red]\(#,##0.000000\)"/>
    <numFmt numFmtId="184" formatCode="#,##0.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.00_);\(0.00\)"/>
    <numFmt numFmtId="188" formatCode="0.0_);\(0.0\)"/>
    <numFmt numFmtId="189" formatCode="0_);\(0\)"/>
    <numFmt numFmtId="190" formatCode="&quot;$&quot;#,##0.00000_);[Red]\(&quot;$&quot;#,##0.00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000_);[Red]\(#,##0.0000000\)"/>
    <numFmt numFmtId="196" formatCode="#,##0.00000000_);[Red]\(#,##0.00000000\)"/>
    <numFmt numFmtId="197" formatCode="#,##0.000000000_);[Red]\(#,##0.000000000\)"/>
    <numFmt numFmtId="198" formatCode="#,##0.0000000000_);[Red]\(#,##0.0000000000\)"/>
    <numFmt numFmtId="199" formatCode="0.00_);[Red]\(0.00\)"/>
    <numFmt numFmtId="200" formatCode="0.0_);[Red]\(0.0\)"/>
    <numFmt numFmtId="201" formatCode="0_);[Red]\(0\)"/>
    <numFmt numFmtId="202" formatCode="#,##0.0_);\(#,##0.0\)"/>
    <numFmt numFmtId="203" formatCode="&quot;$&quot;#,##0.000_);[Red]\(&quot;$&quot;#,##0.000\)"/>
    <numFmt numFmtId="204" formatCode="[$-409]dddd\,\ mmmm\ dd\,\ yyyy"/>
    <numFmt numFmtId="205" formatCode="[$-409]h:mm:ss\ AM/PM"/>
    <numFmt numFmtId="206" formatCode="&quot;$&quot;#,##0.0000_);[Red]\(&quot;$&quot;#,##0.0000\)"/>
    <numFmt numFmtId="207" formatCode="&quot;$&quot;#,##0.000000_);[Red]\(&quot;$&quot;#,##0.000000\)"/>
    <numFmt numFmtId="208" formatCode="&quot;$&quot;#,##0.0000000_);[Red]\(&quot;$&quot;#,##0.0000000\)"/>
    <numFmt numFmtId="209" formatCode="0.000000"/>
    <numFmt numFmtId="210" formatCode="[$-409]dddd\,\ mmmm\ d\,\ yyyy"/>
    <numFmt numFmtId="211" formatCode="00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MS Sans Serif"/>
      <family val="2"/>
    </font>
    <font>
      <sz val="10"/>
      <color indexed="8"/>
      <name val="Arial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.5"/>
      <name val="MS Sans Serif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u val="single"/>
      <sz val="8"/>
      <name val="Arial"/>
      <family val="2"/>
    </font>
    <font>
      <i/>
      <sz val="8"/>
      <color indexed="48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8" fontId="6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8" fontId="6" fillId="0" borderId="0" xfId="44" applyFont="1" applyAlignment="1">
      <alignment/>
    </xf>
    <xf numFmtId="38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3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>
      <alignment/>
    </xf>
    <xf numFmtId="8" fontId="6" fillId="0" borderId="0" xfId="59" applyNumberFormat="1" applyFont="1" applyAlignment="1">
      <alignment/>
    </xf>
    <xf numFmtId="0" fontId="7" fillId="0" borderId="10" xfId="0" applyFont="1" applyBorder="1" applyAlignment="1">
      <alignment/>
    </xf>
    <xf numFmtId="8" fontId="6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1" fillId="0" borderId="10" xfId="0" applyFont="1" applyBorder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8" fontId="12" fillId="0" borderId="0" xfId="42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10" xfId="0" applyNumberFormat="1" applyFont="1" applyBorder="1" applyAlignment="1">
      <alignment/>
    </xf>
    <xf numFmtId="164" fontId="12" fillId="0" borderId="11" xfId="0" applyNumberFormat="1" applyFont="1" applyBorder="1" applyAlignment="1" applyProtection="1">
      <alignment horizontal="left"/>
      <protection/>
    </xf>
    <xf numFmtId="38" fontId="12" fillId="0" borderId="12" xfId="42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164" fontId="12" fillId="0" borderId="0" xfId="0" applyNumberFormat="1" applyFont="1" applyAlignment="1" applyProtection="1">
      <alignment horizontal="left"/>
      <protection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3" fontId="12" fillId="0" borderId="12" xfId="0" applyNumberFormat="1" applyFont="1" applyBorder="1" applyAlignment="1">
      <alignment/>
    </xf>
    <xf numFmtId="9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38" fontId="12" fillId="0" borderId="12" xfId="42" applyNumberFormat="1" applyFont="1" applyBorder="1" applyAlignment="1" applyProtection="1">
      <alignment/>
      <protection/>
    </xf>
    <xf numFmtId="38" fontId="12" fillId="0" borderId="0" xfId="42" applyNumberFormat="1" applyFont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38" fontId="12" fillId="0" borderId="0" xfId="42" applyNumberFormat="1" applyFont="1" applyBorder="1" applyAlignment="1">
      <alignment/>
    </xf>
    <xf numFmtId="165" fontId="12" fillId="0" borderId="0" xfId="59" applyNumberFormat="1" applyFont="1" applyBorder="1" applyAlignment="1">
      <alignment/>
    </xf>
    <xf numFmtId="38" fontId="12" fillId="0" borderId="0" xfId="42" applyNumberFormat="1" applyFont="1" applyBorder="1" applyAlignment="1" applyProtection="1">
      <alignment horizontal="right"/>
      <protection/>
    </xf>
    <xf numFmtId="38" fontId="12" fillId="0" borderId="0" xfId="42" applyNumberFormat="1" applyFont="1" applyBorder="1" applyAlignment="1" applyProtection="1">
      <alignment/>
      <protection/>
    </xf>
    <xf numFmtId="165" fontId="12" fillId="0" borderId="0" xfId="0" applyNumberFormat="1" applyFont="1" applyBorder="1" applyAlignment="1">
      <alignment/>
    </xf>
    <xf numFmtId="8" fontId="12" fillId="0" borderId="0" xfId="44" applyFont="1" applyBorder="1" applyAlignment="1">
      <alignment/>
    </xf>
    <xf numFmtId="38" fontId="12" fillId="0" borderId="14" xfId="42" applyNumberFormat="1" applyFont="1" applyBorder="1" applyAlignment="1" applyProtection="1">
      <alignment/>
      <protection/>
    </xf>
    <xf numFmtId="38" fontId="12" fillId="0" borderId="0" xfId="0" applyNumberFormat="1" applyFont="1" applyAlignment="1">
      <alignment/>
    </xf>
    <xf numFmtId="8" fontId="12" fillId="0" borderId="0" xfId="44" applyFont="1" applyAlignment="1">
      <alignment/>
    </xf>
    <xf numFmtId="38" fontId="12" fillId="0" borderId="0" xfId="42" applyNumberFormat="1" applyFont="1" applyAlignment="1">
      <alignment horizontal="right"/>
    </xf>
    <xf numFmtId="38" fontId="12" fillId="0" borderId="14" xfId="42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38" fontId="12" fillId="0" borderId="14" xfId="0" applyNumberFormat="1" applyFont="1" applyBorder="1" applyAlignment="1">
      <alignment/>
    </xf>
    <xf numFmtId="38" fontId="14" fillId="0" borderId="0" xfId="42" applyNumberFormat="1" applyFont="1" applyAlignment="1">
      <alignment/>
    </xf>
    <xf numFmtId="165" fontId="12" fillId="0" borderId="0" xfId="59" applyNumberFormat="1" applyFont="1" applyAlignment="1">
      <alignment/>
    </xf>
    <xf numFmtId="165" fontId="12" fillId="0" borderId="12" xfId="59" applyNumberFormat="1" applyFont="1" applyBorder="1" applyAlignment="1">
      <alignment/>
    </xf>
    <xf numFmtId="0" fontId="13" fillId="0" borderId="0" xfId="0" applyFont="1" applyAlignment="1">
      <alignment horizontal="center"/>
    </xf>
    <xf numFmtId="38" fontId="12" fillId="0" borderId="10" xfId="42" applyNumberFormat="1" applyFont="1" applyBorder="1" applyAlignment="1">
      <alignment/>
    </xf>
    <xf numFmtId="170" fontId="12" fillId="0" borderId="0" xfId="42" applyNumberFormat="1" applyFont="1" applyBorder="1" applyAlignment="1">
      <alignment/>
    </xf>
    <xf numFmtId="170" fontId="12" fillId="0" borderId="0" xfId="42" applyNumberFormat="1" applyFont="1" applyAlignment="1">
      <alignment/>
    </xf>
    <xf numFmtId="165" fontId="12" fillId="0" borderId="15" xfId="0" applyNumberFormat="1" applyFont="1" applyBorder="1" applyAlignment="1">
      <alignment/>
    </xf>
    <xf numFmtId="38" fontId="14" fillId="0" borderId="0" xfId="0" applyNumberFormat="1" applyFont="1" applyAlignment="1">
      <alignment/>
    </xf>
    <xf numFmtId="165" fontId="12" fillId="0" borderId="10" xfId="59" applyNumberFormat="1" applyFont="1" applyBorder="1" applyAlignment="1">
      <alignment/>
    </xf>
    <xf numFmtId="37" fontId="6" fillId="0" borderId="0" xfId="42" applyNumberFormat="1" applyFont="1" applyAlignment="1">
      <alignment/>
    </xf>
    <xf numFmtId="37" fontId="15" fillId="0" borderId="0" xfId="42" applyNumberFormat="1" applyFont="1" applyAlignment="1">
      <alignment/>
    </xf>
    <xf numFmtId="37" fontId="12" fillId="0" borderId="0" xfId="42" applyNumberFormat="1" applyFont="1" applyAlignment="1">
      <alignment/>
    </xf>
    <xf numFmtId="37" fontId="12" fillId="0" borderId="0" xfId="42" applyNumberFormat="1" applyFont="1" applyAlignment="1" applyProtection="1">
      <alignment/>
      <protection/>
    </xf>
    <xf numFmtId="40" fontId="12" fillId="0" borderId="0" xfId="42" applyFont="1" applyAlignment="1">
      <alignment/>
    </xf>
    <xf numFmtId="37" fontId="12" fillId="0" borderId="10" xfId="42" applyNumberFormat="1" applyFont="1" applyBorder="1" applyAlignment="1">
      <alignment/>
    </xf>
    <xf numFmtId="39" fontId="12" fillId="0" borderId="0" xfId="42" applyNumberFormat="1" applyFont="1" applyAlignment="1" applyProtection="1">
      <alignment/>
      <protection/>
    </xf>
    <xf numFmtId="39" fontId="12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42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38" fontId="0" fillId="0" borderId="14" xfId="42" applyNumberFormat="1" applyFont="1" applyBorder="1" applyAlignment="1">
      <alignment/>
    </xf>
    <xf numFmtId="38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8" fontId="4" fillId="0" borderId="22" xfId="42" applyNumberFormat="1" applyFont="1" applyBorder="1" applyAlignment="1">
      <alignment/>
    </xf>
    <xf numFmtId="38" fontId="4" fillId="0" borderId="0" xfId="42" applyNumberFormat="1" applyFont="1" applyBorder="1" applyAlignment="1">
      <alignment/>
    </xf>
    <xf numFmtId="38" fontId="4" fillId="0" borderId="0" xfId="42" applyNumberFormat="1" applyFont="1" applyFill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0" borderId="24" xfId="59" applyNumberFormat="1" applyFont="1" applyBorder="1" applyAlignment="1">
      <alignment/>
    </xf>
    <xf numFmtId="38" fontId="4" fillId="0" borderId="0" xfId="42" applyNumberFormat="1" applyFont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8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38" fontId="4" fillId="0" borderId="0" xfId="42" applyNumberFormat="1" applyFont="1" applyFill="1" applyAlignment="1">
      <alignment/>
    </xf>
    <xf numFmtId="38" fontId="4" fillId="0" borderId="0" xfId="42" applyNumberFormat="1" applyFont="1" applyAlignment="1" applyProtection="1">
      <alignment/>
      <protection/>
    </xf>
    <xf numFmtId="38" fontId="4" fillId="0" borderId="0" xfId="42" applyNumberFormat="1" applyFont="1" applyFill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left"/>
      <protection/>
    </xf>
    <xf numFmtId="37" fontId="4" fillId="0" borderId="0" xfId="42" applyNumberFormat="1" applyFont="1" applyFill="1" applyBorder="1" applyAlignment="1">
      <alignment/>
    </xf>
    <xf numFmtId="165" fontId="4" fillId="0" borderId="0" xfId="59" applyNumberFormat="1" applyFont="1" applyBorder="1" applyAlignment="1">
      <alignment/>
    </xf>
    <xf numFmtId="38" fontId="4" fillId="0" borderId="0" xfId="42" applyNumberFormat="1" applyFont="1" applyBorder="1" applyAlignment="1" applyProtection="1">
      <alignment horizontal="right"/>
      <protection/>
    </xf>
    <xf numFmtId="38" fontId="4" fillId="0" borderId="0" xfId="42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>
      <alignment/>
    </xf>
    <xf numFmtId="8" fontId="4" fillId="0" borderId="0" xfId="44" applyFont="1" applyBorder="1" applyAlignment="1">
      <alignment/>
    </xf>
    <xf numFmtId="8" fontId="4" fillId="0" borderId="0" xfId="44" applyFont="1" applyFill="1" applyBorder="1" applyAlignment="1">
      <alignment/>
    </xf>
    <xf numFmtId="170" fontId="4" fillId="0" borderId="0" xfId="42" applyNumberFormat="1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2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38" fontId="4" fillId="33" borderId="0" xfId="42" applyNumberFormat="1" applyFont="1" applyFill="1" applyBorder="1" applyAlignment="1" applyProtection="1">
      <alignment/>
      <protection/>
    </xf>
    <xf numFmtId="165" fontId="4" fillId="33" borderId="0" xfId="59" applyNumberFormat="1" applyFont="1" applyFill="1" applyBorder="1" applyAlignment="1">
      <alignment/>
    </xf>
    <xf numFmtId="0" fontId="4" fillId="33" borderId="0" xfId="0" applyFont="1" applyFill="1" applyAlignment="1">
      <alignment/>
    </xf>
    <xf numFmtId="8" fontId="4" fillId="0" borderId="0" xfId="44" applyFont="1" applyFill="1" applyAlignment="1">
      <alignment/>
    </xf>
    <xf numFmtId="170" fontId="4" fillId="0" borderId="0" xfId="42" applyNumberFormat="1" applyFont="1" applyAlignment="1">
      <alignment/>
    </xf>
    <xf numFmtId="183" fontId="4" fillId="0" borderId="0" xfId="42" applyNumberFormat="1" applyFont="1" applyFill="1" applyAlignment="1">
      <alignment/>
    </xf>
    <xf numFmtId="38" fontId="4" fillId="33" borderId="0" xfId="42" applyNumberFormat="1" applyFont="1" applyFill="1" applyAlignment="1">
      <alignment/>
    </xf>
    <xf numFmtId="170" fontId="4" fillId="0" borderId="0" xfId="42" applyNumberFormat="1" applyFont="1" applyFill="1" applyAlignment="1">
      <alignment/>
    </xf>
    <xf numFmtId="38" fontId="4" fillId="33" borderId="0" xfId="42" applyNumberFormat="1" applyFont="1" applyFill="1" applyAlignment="1" applyProtection="1">
      <alignment/>
      <protection/>
    </xf>
    <xf numFmtId="183" fontId="4" fillId="0" borderId="0" xfId="42" applyNumberFormat="1" applyFont="1" applyAlignment="1">
      <alignment/>
    </xf>
    <xf numFmtId="0" fontId="4" fillId="0" borderId="0" xfId="0" applyFont="1" applyFill="1" applyAlignment="1">
      <alignment/>
    </xf>
    <xf numFmtId="37" fontId="4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0" applyNumberFormat="1" applyFont="1" applyBorder="1" applyAlignment="1">
      <alignment/>
    </xf>
    <xf numFmtId="38" fontId="5" fillId="0" borderId="0" xfId="42" applyNumberFormat="1" applyFont="1" applyAlignment="1">
      <alignment/>
    </xf>
    <xf numFmtId="0" fontId="5" fillId="33" borderId="0" xfId="0" applyFont="1" applyFill="1" applyAlignment="1">
      <alignment/>
    </xf>
    <xf numFmtId="38" fontId="5" fillId="33" borderId="0" xfId="42" applyNumberFormat="1" applyFont="1" applyFill="1" applyAlignment="1">
      <alignment/>
    </xf>
    <xf numFmtId="38" fontId="4" fillId="0" borderId="22" xfId="42" applyNumberFormat="1" applyFont="1" applyFill="1" applyBorder="1" applyAlignment="1">
      <alignment/>
    </xf>
    <xf numFmtId="165" fontId="4" fillId="0" borderId="23" xfId="59" applyNumberFormat="1" applyFont="1" applyBorder="1" applyAlignment="1">
      <alignment/>
    </xf>
    <xf numFmtId="0" fontId="5" fillId="0" borderId="0" xfId="0" applyFont="1" applyBorder="1" applyAlignment="1">
      <alignment/>
    </xf>
    <xf numFmtId="0" fontId="2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38" fontId="4" fillId="34" borderId="0" xfId="42" applyNumberFormat="1" applyFont="1" applyFill="1" applyAlignment="1">
      <alignment/>
    </xf>
    <xf numFmtId="0" fontId="27" fillId="34" borderId="0" xfId="0" applyFont="1" applyFill="1" applyAlignment="1">
      <alignment horizontal="center"/>
    </xf>
    <xf numFmtId="0" fontId="26" fillId="34" borderId="16" xfId="0" applyFont="1" applyFill="1" applyBorder="1" applyAlignment="1">
      <alignment horizontal="centerContinuous"/>
    </xf>
    <xf numFmtId="0" fontId="4" fillId="34" borderId="17" xfId="0" applyFont="1" applyFill="1" applyBorder="1" applyAlignment="1">
      <alignment horizontal="centerContinuous"/>
    </xf>
    <xf numFmtId="0" fontId="4" fillId="34" borderId="18" xfId="0" applyFont="1" applyFill="1" applyBorder="1" applyAlignment="1">
      <alignment horizontal="centerContinuous"/>
    </xf>
    <xf numFmtId="0" fontId="4" fillId="34" borderId="10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38" fontId="4" fillId="34" borderId="22" xfId="42" applyNumberFormat="1" applyFont="1" applyFill="1" applyBorder="1" applyAlignment="1">
      <alignment/>
    </xf>
    <xf numFmtId="38" fontId="4" fillId="34" borderId="0" xfId="42" applyNumberFormat="1" applyFont="1" applyFill="1" applyBorder="1" applyAlignment="1">
      <alignment/>
    </xf>
    <xf numFmtId="165" fontId="4" fillId="34" borderId="23" xfId="0" applyNumberFormat="1" applyFont="1" applyFill="1" applyBorder="1" applyAlignment="1">
      <alignment/>
    </xf>
    <xf numFmtId="165" fontId="4" fillId="34" borderId="0" xfId="59" applyNumberFormat="1" applyFont="1" applyFill="1" applyAlignment="1">
      <alignment/>
    </xf>
    <xf numFmtId="38" fontId="4" fillId="34" borderId="21" xfId="42" applyNumberFormat="1" applyFont="1" applyFill="1" applyBorder="1" applyAlignment="1">
      <alignment/>
    </xf>
    <xf numFmtId="165" fontId="4" fillId="34" borderId="10" xfId="59" applyNumberFormat="1" applyFont="1" applyFill="1" applyBorder="1" applyAlignment="1">
      <alignment/>
    </xf>
    <xf numFmtId="164" fontId="4" fillId="34" borderId="11" xfId="0" applyNumberFormat="1" applyFont="1" applyFill="1" applyBorder="1" applyAlignment="1" applyProtection="1">
      <alignment horizontal="left"/>
      <protection/>
    </xf>
    <xf numFmtId="38" fontId="4" fillId="34" borderId="25" xfId="42" applyNumberFormat="1" applyFont="1" applyFill="1" applyBorder="1" applyAlignment="1">
      <alignment/>
    </xf>
    <xf numFmtId="38" fontId="4" fillId="34" borderId="26" xfId="42" applyNumberFormat="1" applyFont="1" applyFill="1" applyBorder="1" applyAlignment="1">
      <alignment/>
    </xf>
    <xf numFmtId="165" fontId="4" fillId="34" borderId="27" xfId="0" applyNumberFormat="1" applyFont="1" applyFill="1" applyBorder="1" applyAlignment="1">
      <alignment/>
    </xf>
    <xf numFmtId="38" fontId="4" fillId="34" borderId="28" xfId="42" applyNumberFormat="1" applyFont="1" applyFill="1" applyBorder="1" applyAlignment="1">
      <alignment/>
    </xf>
    <xf numFmtId="165" fontId="4" fillId="34" borderId="0" xfId="0" applyNumberFormat="1" applyFont="1" applyFill="1" applyAlignment="1">
      <alignment/>
    </xf>
    <xf numFmtId="164" fontId="4" fillId="34" borderId="0" xfId="0" applyNumberFormat="1" applyFont="1" applyFill="1" applyAlignment="1" applyProtection="1">
      <alignment horizontal="left"/>
      <protection/>
    </xf>
    <xf numFmtId="3" fontId="4" fillId="34" borderId="0" xfId="0" applyNumberFormat="1" applyFont="1" applyFill="1" applyAlignment="1">
      <alignment/>
    </xf>
    <xf numFmtId="9" fontId="4" fillId="34" borderId="0" xfId="0" applyNumberFormat="1" applyFont="1" applyFill="1" applyAlignment="1">
      <alignment/>
    </xf>
    <xf numFmtId="37" fontId="4" fillId="34" borderId="0" xfId="42" applyNumberFormat="1" applyFont="1" applyFill="1" applyAlignment="1">
      <alignment/>
    </xf>
    <xf numFmtId="37" fontId="4" fillId="34" borderId="10" xfId="42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9" fontId="4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38" fontId="4" fillId="34" borderId="12" xfId="42" applyNumberFormat="1" applyFont="1" applyFill="1" applyBorder="1" applyAlignment="1">
      <alignment/>
    </xf>
    <xf numFmtId="38" fontId="4" fillId="34" borderId="10" xfId="42" applyNumberFormat="1" applyFont="1" applyFill="1" applyBorder="1" applyAlignment="1" applyProtection="1">
      <alignment/>
      <protection/>
    </xf>
    <xf numFmtId="165" fontId="4" fillId="34" borderId="13" xfId="0" applyNumberFormat="1" applyFont="1" applyFill="1" applyBorder="1" applyAlignment="1">
      <alignment/>
    </xf>
    <xf numFmtId="37" fontId="4" fillId="34" borderId="0" xfId="42" applyNumberFormat="1" applyFont="1" applyFill="1" applyAlignment="1" applyProtection="1">
      <alignment/>
      <protection/>
    </xf>
    <xf numFmtId="38" fontId="4" fillId="34" borderId="0" xfId="42" applyNumberFormat="1" applyFont="1" applyFill="1" applyAlignment="1" applyProtection="1">
      <alignment/>
      <protection/>
    </xf>
    <xf numFmtId="38" fontId="4" fillId="34" borderId="10" xfId="42" applyNumberFormat="1" applyFont="1" applyFill="1" applyBorder="1" applyAlignment="1">
      <alignment/>
    </xf>
    <xf numFmtId="38" fontId="4" fillId="34" borderId="12" xfId="42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 horizontal="left"/>
      <protection/>
    </xf>
    <xf numFmtId="165" fontId="4" fillId="34" borderId="0" xfId="59" applyNumberFormat="1" applyFont="1" applyFill="1" applyBorder="1" applyAlignment="1">
      <alignment/>
    </xf>
    <xf numFmtId="38" fontId="4" fillId="34" borderId="0" xfId="42" applyNumberFormat="1" applyFont="1" applyFill="1" applyBorder="1" applyAlignment="1" applyProtection="1">
      <alignment horizontal="right"/>
      <protection/>
    </xf>
    <xf numFmtId="8" fontId="4" fillId="34" borderId="0" xfId="44" applyFont="1" applyFill="1" applyAlignment="1">
      <alignment/>
    </xf>
    <xf numFmtId="40" fontId="4" fillId="34" borderId="0" xfId="42" applyFont="1" applyFill="1" applyAlignment="1">
      <alignment/>
    </xf>
    <xf numFmtId="170" fontId="4" fillId="34" borderId="0" xfId="42" applyNumberFormat="1" applyFont="1" applyFill="1" applyAlignment="1">
      <alignment/>
    </xf>
    <xf numFmtId="38" fontId="4" fillId="34" borderId="14" xfId="42" applyNumberFormat="1" applyFont="1" applyFill="1" applyBorder="1" applyAlignment="1">
      <alignment/>
    </xf>
    <xf numFmtId="170" fontId="4" fillId="34" borderId="0" xfId="42" applyNumberFormat="1" applyFont="1" applyFill="1" applyBorder="1" applyAlignment="1">
      <alignment/>
    </xf>
    <xf numFmtId="38" fontId="4" fillId="34" borderId="0" xfId="42" applyNumberFormat="1" applyFont="1" applyFill="1" applyBorder="1" applyAlignment="1" applyProtection="1">
      <alignment/>
      <protection/>
    </xf>
    <xf numFmtId="165" fontId="4" fillId="33" borderId="0" xfId="0" applyNumberFormat="1" applyFont="1" applyFill="1" applyAlignment="1">
      <alignment/>
    </xf>
    <xf numFmtId="0" fontId="4" fillId="0" borderId="29" xfId="0" applyFont="1" applyBorder="1" applyAlignment="1">
      <alignment horizontal="center"/>
    </xf>
    <xf numFmtId="38" fontId="5" fillId="0" borderId="0" xfId="0" applyNumberFormat="1" applyFont="1" applyAlignment="1">
      <alignment/>
    </xf>
    <xf numFmtId="38" fontId="0" fillId="0" borderId="30" xfId="42" applyNumberFormat="1" applyFont="1" applyBorder="1" applyAlignment="1">
      <alignment/>
    </xf>
    <xf numFmtId="38" fontId="0" fillId="0" borderId="30" xfId="0" applyNumberFormat="1" applyBorder="1" applyAlignment="1">
      <alignment/>
    </xf>
    <xf numFmtId="38" fontId="0" fillId="0" borderId="31" xfId="42" applyNumberFormat="1" applyFont="1" applyBorder="1" applyAlignment="1">
      <alignment/>
    </xf>
    <xf numFmtId="38" fontId="0" fillId="0" borderId="31" xfId="0" applyNumberFormat="1" applyBorder="1" applyAlignment="1">
      <alignment/>
    </xf>
    <xf numFmtId="8" fontId="4" fillId="0" borderId="0" xfId="44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4" fillId="0" borderId="0" xfId="0" applyNumberFormat="1" applyFont="1" applyFill="1" applyAlignment="1">
      <alignment/>
    </xf>
    <xf numFmtId="170" fontId="4" fillId="0" borderId="0" xfId="42" applyNumberFormat="1" applyFont="1" applyBorder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38" fontId="0" fillId="0" borderId="14" xfId="42" applyNumberFormat="1" applyFont="1" applyBorder="1" applyAlignment="1">
      <alignment horizontal="center"/>
    </xf>
    <xf numFmtId="38" fontId="0" fillId="0" borderId="14" xfId="0" applyNumberFormat="1" applyBorder="1" applyAlignment="1">
      <alignment horizontal="center"/>
    </xf>
    <xf numFmtId="0" fontId="0" fillId="0" borderId="30" xfId="0" applyBorder="1" applyAlignment="1">
      <alignment/>
    </xf>
    <xf numFmtId="38" fontId="0" fillId="0" borderId="32" xfId="42" applyNumberFormat="1" applyFont="1" applyBorder="1" applyAlignment="1">
      <alignment/>
    </xf>
    <xf numFmtId="38" fontId="0" fillId="0" borderId="32" xfId="0" applyNumberFormat="1" applyBorder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38" fontId="4" fillId="0" borderId="0" xfId="42" applyNumberFormat="1" applyFont="1" applyBorder="1" applyAlignment="1">
      <alignment horizontal="right"/>
    </xf>
    <xf numFmtId="9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8" fontId="4" fillId="0" borderId="0" xfId="44" applyFont="1" applyAlignment="1">
      <alignment/>
    </xf>
    <xf numFmtId="164" fontId="4" fillId="36" borderId="0" xfId="0" applyNumberFormat="1" applyFont="1" applyFill="1" applyAlignment="1" applyProtection="1">
      <alignment horizontal="left"/>
      <protection/>
    </xf>
    <xf numFmtId="0" fontId="4" fillId="0" borderId="24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40" fontId="6" fillId="0" borderId="0" xfId="0" applyNumberFormat="1" applyFont="1" applyAlignment="1">
      <alignment/>
    </xf>
    <xf numFmtId="38" fontId="0" fillId="0" borderId="33" xfId="42" applyNumberFormat="1" applyFont="1" applyBorder="1" applyAlignment="1">
      <alignment/>
    </xf>
    <xf numFmtId="38" fontId="0" fillId="0" borderId="33" xfId="0" applyNumberFormat="1" applyBorder="1" applyAlignment="1">
      <alignment/>
    </xf>
    <xf numFmtId="38" fontId="0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0" fontId="4" fillId="0" borderId="0" xfId="42" applyNumberFormat="1" applyFont="1" applyBorder="1" applyAlignment="1">
      <alignment/>
    </xf>
    <xf numFmtId="183" fontId="4" fillId="0" borderId="0" xfId="42" applyNumberFormat="1" applyFont="1" applyBorder="1" applyAlignment="1">
      <alignment/>
    </xf>
    <xf numFmtId="164" fontId="4" fillId="0" borderId="34" xfId="0" applyNumberFormat="1" applyFont="1" applyBorder="1" applyAlignment="1" applyProtection="1">
      <alignment horizontal="left"/>
      <protection/>
    </xf>
    <xf numFmtId="3" fontId="4" fillId="0" borderId="35" xfId="0" applyNumberFormat="1" applyFont="1" applyBorder="1" applyAlignment="1">
      <alignment/>
    </xf>
    <xf numFmtId="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38" fontId="4" fillId="0" borderId="35" xfId="42" applyNumberFormat="1" applyFont="1" applyBorder="1" applyAlignment="1" applyProtection="1">
      <alignment/>
      <protection/>
    </xf>
    <xf numFmtId="38" fontId="4" fillId="0" borderId="35" xfId="42" applyNumberFormat="1" applyFont="1" applyFill="1" applyBorder="1" applyAlignment="1" applyProtection="1">
      <alignment/>
      <protection/>
    </xf>
    <xf numFmtId="165" fontId="4" fillId="0" borderId="36" xfId="0" applyNumberFormat="1" applyFont="1" applyBorder="1" applyAlignment="1">
      <alignment/>
    </xf>
    <xf numFmtId="38" fontId="4" fillId="37" borderId="35" xfId="42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38" fontId="4" fillId="0" borderId="34" xfId="42" applyNumberFormat="1" applyFont="1" applyBorder="1" applyAlignment="1">
      <alignment/>
    </xf>
    <xf numFmtId="38" fontId="4" fillId="0" borderId="35" xfId="42" applyNumberFormat="1" applyFont="1" applyBorder="1" applyAlignment="1">
      <alignment/>
    </xf>
    <xf numFmtId="165" fontId="4" fillId="0" borderId="37" xfId="0" applyNumberFormat="1" applyFont="1" applyBorder="1" applyAlignment="1">
      <alignment/>
    </xf>
    <xf numFmtId="38" fontId="4" fillId="37" borderId="35" xfId="42" applyNumberFormat="1" applyFont="1" applyFill="1" applyBorder="1" applyAlignment="1">
      <alignment/>
    </xf>
    <xf numFmtId="38" fontId="4" fillId="0" borderId="34" xfId="42" applyNumberFormat="1" applyFont="1" applyBorder="1" applyAlignment="1" applyProtection="1">
      <alignment/>
      <protection/>
    </xf>
    <xf numFmtId="165" fontId="4" fillId="0" borderId="36" xfId="59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5" fontId="4" fillId="0" borderId="36" xfId="0" applyNumberFormat="1" applyFont="1" applyFill="1" applyBorder="1" applyAlignment="1">
      <alignment/>
    </xf>
    <xf numFmtId="0" fontId="24" fillId="0" borderId="37" xfId="0" applyFont="1" applyBorder="1" applyAlignment="1">
      <alignment/>
    </xf>
    <xf numFmtId="6" fontId="4" fillId="0" borderId="0" xfId="44" applyNumberFormat="1" applyFont="1" applyFill="1" applyBorder="1" applyAlignment="1" applyProtection="1">
      <alignment/>
      <protection/>
    </xf>
    <xf numFmtId="0" fontId="26" fillId="0" borderId="22" xfId="0" applyFont="1" applyBorder="1" applyAlignment="1">
      <alignment/>
    </xf>
    <xf numFmtId="0" fontId="26" fillId="0" borderId="0" xfId="0" applyFont="1" applyBorder="1" applyAlignment="1">
      <alignment/>
    </xf>
    <xf numFmtId="0" fontId="5" fillId="0" borderId="0" xfId="0" applyFont="1" applyAlignment="1">
      <alignment/>
    </xf>
    <xf numFmtId="0" fontId="24" fillId="0" borderId="38" xfId="0" applyFont="1" applyBorder="1" applyAlignment="1">
      <alignment/>
    </xf>
    <xf numFmtId="0" fontId="24" fillId="0" borderId="22" xfId="0" applyFont="1" applyBorder="1" applyAlignment="1">
      <alignment/>
    </xf>
    <xf numFmtId="164" fontId="4" fillId="0" borderId="22" xfId="0" applyNumberFormat="1" applyFont="1" applyBorder="1" applyAlignment="1" applyProtection="1">
      <alignment horizontal="left"/>
      <protection/>
    </xf>
    <xf numFmtId="165" fontId="4" fillId="0" borderId="39" xfId="59" applyNumberFormat="1" applyFont="1" applyBorder="1" applyAlignment="1">
      <alignment/>
    </xf>
    <xf numFmtId="38" fontId="4" fillId="0" borderId="25" xfId="42" applyNumberFormat="1" applyFont="1" applyBorder="1" applyAlignment="1">
      <alignment/>
    </xf>
    <xf numFmtId="38" fontId="4" fillId="0" borderId="40" xfId="42" applyNumberFormat="1" applyFont="1" applyBorder="1" applyAlignment="1">
      <alignment/>
    </xf>
    <xf numFmtId="165" fontId="4" fillId="0" borderId="41" xfId="0" applyNumberFormat="1" applyFont="1" applyBorder="1" applyAlignment="1">
      <alignment/>
    </xf>
    <xf numFmtId="6" fontId="5" fillId="0" borderId="0" xfId="44" applyNumberFormat="1" applyFont="1" applyAlignment="1">
      <alignment/>
    </xf>
    <xf numFmtId="6" fontId="4" fillId="0" borderId="0" xfId="44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6" fillId="0" borderId="0" xfId="0" applyFont="1" applyAlignment="1">
      <alignment/>
    </xf>
    <xf numFmtId="38" fontId="4" fillId="0" borderId="12" xfId="42" applyNumberFormat="1" applyFont="1" applyBorder="1" applyAlignment="1" applyProtection="1">
      <alignment/>
      <protection/>
    </xf>
    <xf numFmtId="0" fontId="4" fillId="0" borderId="3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0" fillId="0" borderId="24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165" fontId="4" fillId="0" borderId="0" xfId="59" applyNumberFormat="1" applyFont="1" applyAlignment="1">
      <alignment/>
    </xf>
    <xf numFmtId="165" fontId="4" fillId="0" borderId="20" xfId="0" applyNumberFormat="1" applyFont="1" applyBorder="1" applyAlignment="1">
      <alignment/>
    </xf>
    <xf numFmtId="165" fontId="4" fillId="0" borderId="10" xfId="59" applyNumberFormat="1" applyFont="1" applyBorder="1" applyAlignment="1">
      <alignment/>
    </xf>
    <xf numFmtId="164" fontId="4" fillId="0" borderId="11" xfId="0" applyNumberFormat="1" applyFont="1" applyBorder="1" applyAlignment="1" applyProtection="1">
      <alignment horizontal="left"/>
      <protection/>
    </xf>
    <xf numFmtId="38" fontId="4" fillId="0" borderId="28" xfId="42" applyNumberFormat="1" applyFont="1" applyBorder="1" applyAlignment="1">
      <alignment/>
    </xf>
    <xf numFmtId="38" fontId="4" fillId="0" borderId="26" xfId="42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38" fontId="4" fillId="37" borderId="26" xfId="42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2" xfId="42" applyNumberFormat="1" applyFont="1" applyFill="1" applyBorder="1" applyAlignment="1" applyProtection="1">
      <alignment/>
      <protection/>
    </xf>
    <xf numFmtId="165" fontId="4" fillId="0" borderId="13" xfId="0" applyNumberFormat="1" applyFont="1" applyBorder="1" applyAlignment="1">
      <alignment/>
    </xf>
    <xf numFmtId="38" fontId="4" fillId="37" borderId="12" xfId="42" applyNumberFormat="1" applyFont="1" applyFill="1" applyBorder="1" applyAlignment="1" applyProtection="1">
      <alignment/>
      <protection/>
    </xf>
    <xf numFmtId="5" fontId="4" fillId="0" borderId="0" xfId="42" applyNumberFormat="1" applyFont="1" applyFill="1" applyBorder="1" applyAlignment="1" applyProtection="1">
      <alignment/>
      <protection/>
    </xf>
    <xf numFmtId="37" fontId="4" fillId="0" borderId="0" xfId="42" applyNumberFormat="1" applyFont="1" applyAlignment="1" applyProtection="1">
      <alignment/>
      <protection/>
    </xf>
    <xf numFmtId="38" fontId="4" fillId="0" borderId="0" xfId="42" applyNumberFormat="1" applyFont="1" applyAlignment="1">
      <alignment horizontal="right"/>
    </xf>
    <xf numFmtId="38" fontId="4" fillId="0" borderId="10" xfId="42" applyNumberFormat="1" applyFont="1" applyBorder="1" applyAlignment="1">
      <alignment/>
    </xf>
    <xf numFmtId="38" fontId="4" fillId="0" borderId="10" xfId="42" applyNumberFormat="1" applyFont="1" applyFill="1" applyBorder="1" applyAlignment="1">
      <alignment/>
    </xf>
    <xf numFmtId="38" fontId="4" fillId="0" borderId="26" xfId="42" applyNumberFormat="1" applyFont="1" applyBorder="1" applyAlignment="1" applyProtection="1">
      <alignment/>
      <protection/>
    </xf>
    <xf numFmtId="38" fontId="4" fillId="0" borderId="26" xfId="42" applyNumberFormat="1" applyFont="1" applyFill="1" applyBorder="1" applyAlignment="1" applyProtection="1">
      <alignment/>
      <protection/>
    </xf>
    <xf numFmtId="38" fontId="4" fillId="0" borderId="42" xfId="42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38" fontId="4" fillId="0" borderId="28" xfId="42" applyNumberFormat="1" applyFont="1" applyBorder="1" applyAlignment="1" applyProtection="1">
      <alignment/>
      <protection/>
    </xf>
    <xf numFmtId="38" fontId="4" fillId="37" borderId="26" xfId="42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165" fontId="4" fillId="0" borderId="15" xfId="0" applyNumberFormat="1" applyFont="1" applyBorder="1" applyAlignment="1">
      <alignment/>
    </xf>
    <xf numFmtId="6" fontId="4" fillId="0" borderId="0" xfId="44" applyNumberFormat="1" applyFont="1" applyBorder="1" applyAlignment="1" applyProtection="1">
      <alignment/>
      <protection/>
    </xf>
    <xf numFmtId="165" fontId="4" fillId="0" borderId="26" xfId="0" applyNumberFormat="1" applyFont="1" applyBorder="1" applyAlignment="1">
      <alignment/>
    </xf>
    <xf numFmtId="165" fontId="4" fillId="0" borderId="20" xfId="59" applyNumberFormat="1" applyFont="1" applyBorder="1" applyAlignment="1">
      <alignment/>
    </xf>
    <xf numFmtId="165" fontId="4" fillId="0" borderId="27" xfId="59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38" fontId="4" fillId="38" borderId="0" xfId="42" applyNumberFormat="1" applyFont="1" applyFill="1" applyAlignment="1">
      <alignment/>
    </xf>
    <xf numFmtId="38" fontId="4" fillId="38" borderId="0" xfId="42" applyNumberFormat="1" applyFont="1" applyFill="1" applyBorder="1" applyAlignment="1" applyProtection="1">
      <alignment horizontal="right"/>
      <protection/>
    </xf>
    <xf numFmtId="38" fontId="4" fillId="38" borderId="0" xfId="42" applyNumberFormat="1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171" fontId="4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165" fontId="4" fillId="38" borderId="0" xfId="59" applyNumberFormat="1" applyFont="1" applyFill="1" applyBorder="1" applyAlignment="1">
      <alignment/>
    </xf>
    <xf numFmtId="37" fontId="4" fillId="33" borderId="0" xfId="42" applyNumberFormat="1" applyFont="1" applyFill="1" applyAlignment="1">
      <alignment/>
    </xf>
    <xf numFmtId="0" fontId="4" fillId="0" borderId="18" xfId="0" applyFont="1" applyBorder="1" applyAlignment="1">
      <alignment/>
    </xf>
    <xf numFmtId="165" fontId="4" fillId="0" borderId="29" xfId="59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38" fontId="4" fillId="38" borderId="0" xfId="42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6" fontId="4" fillId="0" borderId="0" xfId="42" applyNumberFormat="1" applyFont="1" applyFill="1" applyBorder="1" applyAlignment="1" applyProtection="1">
      <alignment/>
      <protection/>
    </xf>
    <xf numFmtId="164" fontId="67" fillId="38" borderId="0" xfId="0" applyNumberFormat="1" applyFont="1" applyFill="1" applyBorder="1" applyAlignment="1" applyProtection="1">
      <alignment horizontal="left"/>
      <protection/>
    </xf>
    <xf numFmtId="0" fontId="67" fillId="38" borderId="0" xfId="0" applyFont="1" applyFill="1" applyBorder="1" applyAlignment="1">
      <alignment/>
    </xf>
    <xf numFmtId="170" fontId="67" fillId="38" borderId="0" xfId="42" applyNumberFormat="1" applyFont="1" applyFill="1" applyBorder="1" applyAlignment="1">
      <alignment/>
    </xf>
    <xf numFmtId="165" fontId="67" fillId="38" borderId="0" xfId="59" applyNumberFormat="1" applyFont="1" applyFill="1" applyBorder="1" applyAlignment="1">
      <alignment/>
    </xf>
    <xf numFmtId="38" fontId="67" fillId="38" borderId="0" xfId="42" applyNumberFormat="1" applyFont="1" applyFill="1" applyBorder="1" applyAlignment="1">
      <alignment/>
    </xf>
    <xf numFmtId="38" fontId="67" fillId="38" borderId="0" xfId="42" applyNumberFormat="1" applyFont="1" applyFill="1" applyBorder="1" applyAlignment="1" applyProtection="1">
      <alignment/>
      <protection/>
    </xf>
    <xf numFmtId="165" fontId="67" fillId="38" borderId="0" xfId="0" applyNumberFormat="1" applyFont="1" applyFill="1" applyBorder="1" applyAlignment="1">
      <alignment/>
    </xf>
    <xf numFmtId="37" fontId="67" fillId="38" borderId="0" xfId="42" applyNumberFormat="1" applyFont="1" applyFill="1" applyBorder="1" applyAlignment="1">
      <alignment/>
    </xf>
    <xf numFmtId="165" fontId="4" fillId="0" borderId="43" xfId="59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4" fontId="4" fillId="33" borderId="16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>
      <alignment/>
    </xf>
    <xf numFmtId="38" fontId="4" fillId="33" borderId="17" xfId="42" applyNumberFormat="1" applyFont="1" applyFill="1" applyBorder="1" applyAlignment="1">
      <alignment/>
    </xf>
    <xf numFmtId="165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24" fillId="0" borderId="21" xfId="0" applyFont="1" applyBorder="1" applyAlignment="1">
      <alignment/>
    </xf>
    <xf numFmtId="164" fontId="4" fillId="0" borderId="42" xfId="0" applyNumberFormat="1" applyFont="1" applyBorder="1" applyAlignment="1" applyProtection="1">
      <alignment horizontal="left"/>
      <protection/>
    </xf>
    <xf numFmtId="0" fontId="4" fillId="0" borderId="23" xfId="0" applyFont="1" applyFill="1" applyBorder="1" applyAlignment="1">
      <alignment/>
    </xf>
    <xf numFmtId="0" fontId="5" fillId="0" borderId="22" xfId="0" applyFont="1" applyBorder="1" applyAlignment="1">
      <alignment/>
    </xf>
    <xf numFmtId="164" fontId="4" fillId="0" borderId="25" xfId="0" applyNumberFormat="1" applyFont="1" applyBorder="1" applyAlignment="1" applyProtection="1">
      <alignment horizontal="left"/>
      <protection/>
    </xf>
    <xf numFmtId="0" fontId="4" fillId="0" borderId="40" xfId="0" applyFont="1" applyBorder="1" applyAlignment="1">
      <alignment/>
    </xf>
    <xf numFmtId="38" fontId="4" fillId="38" borderId="40" xfId="42" applyNumberFormat="1" applyFont="1" applyFill="1" applyBorder="1" applyAlignment="1">
      <alignment/>
    </xf>
    <xf numFmtId="165" fontId="4" fillId="0" borderId="40" xfId="59" applyNumberFormat="1" applyFont="1" applyBorder="1" applyAlignment="1">
      <alignment/>
    </xf>
    <xf numFmtId="0" fontId="4" fillId="0" borderId="41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39" xfId="0" applyFont="1" applyBorder="1" applyAlignment="1">
      <alignment horizontal="center"/>
    </xf>
    <xf numFmtId="164" fontId="4" fillId="0" borderId="28" xfId="0" applyNumberFormat="1" applyFont="1" applyBorder="1" applyAlignment="1" applyProtection="1">
      <alignment horizontal="left"/>
      <protection/>
    </xf>
    <xf numFmtId="0" fontId="4" fillId="0" borderId="26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38" fontId="4" fillId="0" borderId="40" xfId="42" applyNumberFormat="1" applyFont="1" applyFill="1" applyBorder="1" applyAlignment="1">
      <alignment/>
    </xf>
    <xf numFmtId="0" fontId="24" fillId="0" borderId="34" xfId="0" applyFont="1" applyBorder="1" applyAlignment="1">
      <alignment/>
    </xf>
    <xf numFmtId="38" fontId="26" fillId="0" borderId="17" xfId="42" applyNumberFormat="1" applyFont="1" applyBorder="1" applyAlignment="1">
      <alignment horizontal="centerContinuous"/>
    </xf>
    <xf numFmtId="38" fontId="4" fillId="33" borderId="0" xfId="42" applyNumberFormat="1" applyFont="1" applyFill="1" applyBorder="1" applyAlignment="1">
      <alignment/>
    </xf>
    <xf numFmtId="38" fontId="4" fillId="0" borderId="17" xfId="42" applyNumberFormat="1" applyFont="1" applyBorder="1" applyAlignment="1">
      <alignment horizontal="centerContinuous"/>
    </xf>
    <xf numFmtId="38" fontId="4" fillId="35" borderId="0" xfId="42" applyNumberFormat="1" applyFont="1" applyFill="1" applyAlignment="1">
      <alignment/>
    </xf>
    <xf numFmtId="38" fontId="4" fillId="34" borderId="17" xfId="42" applyNumberFormat="1" applyFont="1" applyFill="1" applyBorder="1" applyAlignment="1">
      <alignment horizontal="centerContinuous"/>
    </xf>
    <xf numFmtId="38" fontId="4" fillId="34" borderId="10" xfId="42" applyNumberFormat="1" applyFont="1" applyFill="1" applyBorder="1" applyAlignment="1">
      <alignment horizontal="center"/>
    </xf>
    <xf numFmtId="195" fontId="4" fillId="0" borderId="0" xfId="42" applyNumberFormat="1" applyFont="1" applyFill="1" applyAlignment="1">
      <alignment/>
    </xf>
    <xf numFmtId="38" fontId="68" fillId="0" borderId="0" xfId="42" applyNumberFormat="1" applyFont="1" applyBorder="1" applyAlignment="1">
      <alignment/>
    </xf>
    <xf numFmtId="190" fontId="4" fillId="0" borderId="0" xfId="44" applyNumberFormat="1" applyFont="1" applyFill="1" applyAlignment="1">
      <alignment/>
    </xf>
    <xf numFmtId="8" fontId="4" fillId="0" borderId="0" xfId="44" applyNumberFormat="1" applyFont="1" applyBorder="1" applyAlignment="1">
      <alignment/>
    </xf>
    <xf numFmtId="207" fontId="4" fillId="0" borderId="0" xfId="44" applyNumberFormat="1" applyFont="1" applyAlignment="1">
      <alignment/>
    </xf>
    <xf numFmtId="183" fontId="4" fillId="0" borderId="0" xfId="42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8" fontId="4" fillId="0" borderId="16" xfId="42" applyNumberFormat="1" applyFont="1" applyBorder="1" applyAlignment="1">
      <alignment horizontal="centerContinuous"/>
    </xf>
    <xf numFmtId="38" fontId="4" fillId="0" borderId="10" xfId="42" applyNumberFormat="1" applyFont="1" applyBorder="1" applyAlignment="1">
      <alignment horizontal="center"/>
    </xf>
    <xf numFmtId="38" fontId="68" fillId="0" borderId="0" xfId="42" applyNumberFormat="1" applyFont="1" applyAlignment="1">
      <alignment/>
    </xf>
    <xf numFmtId="190" fontId="4" fillId="0" borderId="0" xfId="44" applyNumberFormat="1" applyFont="1" applyBorder="1" applyAlignment="1">
      <alignment/>
    </xf>
    <xf numFmtId="40" fontId="4" fillId="0" borderId="0" xfId="42" applyNumberFormat="1" applyFont="1" applyFill="1" applyAlignment="1">
      <alignment/>
    </xf>
    <xf numFmtId="6" fontId="4" fillId="0" borderId="0" xfId="44" applyNumberFormat="1" applyFont="1" applyAlignment="1">
      <alignment/>
    </xf>
    <xf numFmtId="6" fontId="4" fillId="38" borderId="0" xfId="44" applyNumberFormat="1" applyFont="1" applyFill="1" applyAlignment="1">
      <alignment/>
    </xf>
    <xf numFmtId="10" fontId="4" fillId="0" borderId="23" xfId="0" applyNumberFormat="1" applyFont="1" applyBorder="1" applyAlignment="1">
      <alignment/>
    </xf>
    <xf numFmtId="10" fontId="4" fillId="0" borderId="41" xfId="0" applyNumberFormat="1" applyFont="1" applyBorder="1" applyAlignment="1">
      <alignment/>
    </xf>
    <xf numFmtId="38" fontId="4" fillId="0" borderId="12" xfId="42" applyNumberFormat="1" applyFont="1" applyBorder="1" applyAlignment="1">
      <alignment/>
    </xf>
    <xf numFmtId="40" fontId="4" fillId="0" borderId="0" xfId="42" applyNumberFormat="1" applyFont="1" applyAlignment="1">
      <alignment/>
    </xf>
    <xf numFmtId="40" fontId="4" fillId="38" borderId="0" xfId="42" applyNumberFormat="1" applyFont="1" applyFill="1" applyAlignment="1">
      <alignment/>
    </xf>
    <xf numFmtId="170" fontId="4" fillId="38" borderId="0" xfId="42" applyNumberFormat="1" applyFont="1" applyFill="1" applyAlignment="1">
      <alignment/>
    </xf>
    <xf numFmtId="38" fontId="4" fillId="0" borderId="31" xfId="42" applyNumberFormat="1" applyFont="1" applyBorder="1" applyAlignment="1">
      <alignment/>
    </xf>
    <xf numFmtId="183" fontId="4" fillId="38" borderId="0" xfId="42" applyNumberFormat="1" applyFont="1" applyFill="1" applyBorder="1" applyAlignment="1">
      <alignment/>
    </xf>
    <xf numFmtId="38" fontId="4" fillId="0" borderId="25" xfId="42" applyNumberFormat="1" applyFont="1" applyFill="1" applyBorder="1" applyAlignment="1">
      <alignment/>
    </xf>
    <xf numFmtId="165" fontId="4" fillId="0" borderId="41" xfId="59" applyNumberFormat="1" applyFont="1" applyBorder="1" applyAlignment="1">
      <alignment/>
    </xf>
    <xf numFmtId="38" fontId="4" fillId="0" borderId="36" xfId="42" applyNumberFormat="1" applyFont="1" applyBorder="1" applyAlignment="1">
      <alignment/>
    </xf>
    <xf numFmtId="195" fontId="4" fillId="0" borderId="0" xfId="42" applyNumberFormat="1" applyFont="1" applyAlignment="1">
      <alignment/>
    </xf>
    <xf numFmtId="38" fontId="69" fillId="0" borderId="0" xfId="42" applyNumberFormat="1" applyFont="1" applyAlignment="1">
      <alignment/>
    </xf>
    <xf numFmtId="3" fontId="69" fillId="0" borderId="0" xfId="0" applyNumberFormat="1" applyFont="1" applyAlignment="1">
      <alignment/>
    </xf>
    <xf numFmtId="40" fontId="4" fillId="0" borderId="0" xfId="42" applyNumberFormat="1" applyFont="1" applyFill="1" applyBorder="1" applyAlignment="1">
      <alignment/>
    </xf>
    <xf numFmtId="209" fontId="4" fillId="38" borderId="0" xfId="0" applyNumberFormat="1" applyFont="1" applyFill="1" applyAlignment="1">
      <alignment/>
    </xf>
    <xf numFmtId="172" fontId="4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95" fontId="4" fillId="0" borderId="0" xfId="42" applyNumberFormat="1" applyFont="1" applyBorder="1" applyAlignment="1">
      <alignment/>
    </xf>
    <xf numFmtId="38" fontId="69" fillId="0" borderId="0" xfId="42" applyNumberFormat="1" applyFont="1" applyBorder="1" applyAlignment="1">
      <alignment/>
    </xf>
    <xf numFmtId="6" fontId="4" fillId="0" borderId="0" xfId="44" applyNumberFormat="1" applyFont="1" applyFill="1" applyAlignment="1">
      <alignment/>
    </xf>
    <xf numFmtId="10" fontId="4" fillId="0" borderId="23" xfId="59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67175" y="33432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67175" y="104584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67175" y="177641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67175" y="250793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67175" y="324040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67175" y="543210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475</xdr:row>
      <xdr:rowOff>0</xdr:rowOff>
    </xdr:from>
    <xdr:to>
      <xdr:col>6</xdr:col>
      <xdr:colOff>0</xdr:colOff>
      <xdr:row>476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67175" y="754475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435</xdr:row>
      <xdr:rowOff>0</xdr:rowOff>
    </xdr:from>
    <xdr:to>
      <xdr:col>6</xdr:col>
      <xdr:colOff>0</xdr:colOff>
      <xdr:row>436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67175" y="690943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567</xdr:row>
      <xdr:rowOff>0</xdr:rowOff>
    </xdr:from>
    <xdr:to>
      <xdr:col>6</xdr:col>
      <xdr:colOff>0</xdr:colOff>
      <xdr:row>568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067175" y="899731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388</xdr:row>
      <xdr:rowOff>0</xdr:rowOff>
    </xdr:from>
    <xdr:to>
      <xdr:col>6</xdr:col>
      <xdr:colOff>0</xdr:colOff>
      <xdr:row>388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067175" y="61664850"/>
          <a:ext cx="1533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613</xdr:row>
      <xdr:rowOff>0</xdr:rowOff>
    </xdr:from>
    <xdr:to>
      <xdr:col>6</xdr:col>
      <xdr:colOff>0</xdr:colOff>
      <xdr:row>614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067175" y="973074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659</xdr:row>
      <xdr:rowOff>0</xdr:rowOff>
    </xdr:from>
    <xdr:to>
      <xdr:col>6</xdr:col>
      <xdr:colOff>0</xdr:colOff>
      <xdr:row>660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067175" y="1046035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697</xdr:row>
      <xdr:rowOff>0</xdr:rowOff>
    </xdr:from>
    <xdr:to>
      <xdr:col>6</xdr:col>
      <xdr:colOff>0</xdr:colOff>
      <xdr:row>698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067175" y="1106328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744</xdr:row>
      <xdr:rowOff>0</xdr:rowOff>
    </xdr:from>
    <xdr:to>
      <xdr:col>6</xdr:col>
      <xdr:colOff>0</xdr:colOff>
      <xdr:row>745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067175" y="1180909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067175" y="324040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067175" y="614743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4067175" y="395573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4067175" y="470154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523</xdr:row>
      <xdr:rowOff>0</xdr:rowOff>
    </xdr:from>
    <xdr:to>
      <xdr:col>6</xdr:col>
      <xdr:colOff>0</xdr:colOff>
      <xdr:row>524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4067175" y="830389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388</xdr:row>
      <xdr:rowOff>0</xdr:rowOff>
    </xdr:from>
    <xdr:to>
      <xdr:col>6</xdr:col>
      <xdr:colOff>0</xdr:colOff>
      <xdr:row>388</xdr:row>
      <xdr:rowOff>0</xdr:rowOff>
    </xdr:to>
    <xdr:sp>
      <xdr:nvSpPr>
        <xdr:cNvPr id="20" name="Rectangle 32"/>
        <xdr:cNvSpPr>
          <a:spLocks/>
        </xdr:cNvSpPr>
      </xdr:nvSpPr>
      <xdr:spPr>
        <a:xfrm>
          <a:off x="4067175" y="61664850"/>
          <a:ext cx="1533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790</xdr:row>
      <xdr:rowOff>0</xdr:rowOff>
    </xdr:from>
    <xdr:to>
      <xdr:col>6</xdr:col>
      <xdr:colOff>0</xdr:colOff>
      <xdr:row>791</xdr:row>
      <xdr:rowOff>0</xdr:rowOff>
    </xdr:to>
    <xdr:sp>
      <xdr:nvSpPr>
        <xdr:cNvPr id="21" name="Rectangle 34"/>
        <xdr:cNvSpPr>
          <a:spLocks/>
        </xdr:cNvSpPr>
      </xdr:nvSpPr>
      <xdr:spPr>
        <a:xfrm>
          <a:off x="4067175" y="1253490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836</xdr:row>
      <xdr:rowOff>0</xdr:rowOff>
    </xdr:from>
    <xdr:to>
      <xdr:col>6</xdr:col>
      <xdr:colOff>0</xdr:colOff>
      <xdr:row>837</xdr:row>
      <xdr:rowOff>0</xdr:rowOff>
    </xdr:to>
    <xdr:sp>
      <xdr:nvSpPr>
        <xdr:cNvPr id="22" name="Rectangle 35"/>
        <xdr:cNvSpPr>
          <a:spLocks/>
        </xdr:cNvSpPr>
      </xdr:nvSpPr>
      <xdr:spPr>
        <a:xfrm>
          <a:off x="4067175" y="1326261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883</xdr:row>
      <xdr:rowOff>0</xdr:rowOff>
    </xdr:from>
    <xdr:to>
      <xdr:col>6</xdr:col>
      <xdr:colOff>0</xdr:colOff>
      <xdr:row>884</xdr:row>
      <xdr:rowOff>0</xdr:rowOff>
    </xdr:to>
    <xdr:sp>
      <xdr:nvSpPr>
        <xdr:cNvPr id="23" name="Rectangle 36"/>
        <xdr:cNvSpPr>
          <a:spLocks/>
        </xdr:cNvSpPr>
      </xdr:nvSpPr>
      <xdr:spPr>
        <a:xfrm>
          <a:off x="4067175" y="1400651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930</xdr:row>
      <xdr:rowOff>0</xdr:rowOff>
    </xdr:from>
    <xdr:to>
      <xdr:col>6</xdr:col>
      <xdr:colOff>0</xdr:colOff>
      <xdr:row>931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4067175" y="1475041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975</xdr:row>
      <xdr:rowOff>0</xdr:rowOff>
    </xdr:from>
    <xdr:to>
      <xdr:col>6</xdr:col>
      <xdr:colOff>0</xdr:colOff>
      <xdr:row>976</xdr:row>
      <xdr:rowOff>0</xdr:rowOff>
    </xdr:to>
    <xdr:sp>
      <xdr:nvSpPr>
        <xdr:cNvPr id="25" name="Rectangle 37"/>
        <xdr:cNvSpPr>
          <a:spLocks/>
        </xdr:cNvSpPr>
      </xdr:nvSpPr>
      <xdr:spPr>
        <a:xfrm>
          <a:off x="4067175" y="1546098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>
      <xdr:nvSpPr>
        <xdr:cNvPr id="26" name="Rectangle 2"/>
        <xdr:cNvSpPr>
          <a:spLocks/>
        </xdr:cNvSpPr>
      </xdr:nvSpPr>
      <xdr:spPr>
        <a:xfrm>
          <a:off x="4067175" y="33432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57600" y="31527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57600" y="102679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57600" y="174212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57600" y="245745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57600" y="317277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57600" y="535114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57600" y="606552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473</xdr:row>
      <xdr:rowOff>0</xdr:rowOff>
    </xdr:from>
    <xdr:to>
      <xdr:col>6</xdr:col>
      <xdr:colOff>0</xdr:colOff>
      <xdr:row>474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57600" y="750570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518</xdr:row>
      <xdr:rowOff>0</xdr:rowOff>
    </xdr:from>
    <xdr:to>
      <xdr:col>6</xdr:col>
      <xdr:colOff>0</xdr:colOff>
      <xdr:row>519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57600" y="822198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563</xdr:row>
      <xdr:rowOff>0</xdr:rowOff>
    </xdr:from>
    <xdr:to>
      <xdr:col>6</xdr:col>
      <xdr:colOff>0</xdr:colOff>
      <xdr:row>564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57600" y="893826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608</xdr:row>
      <xdr:rowOff>0</xdr:rowOff>
    </xdr:from>
    <xdr:to>
      <xdr:col>6</xdr:col>
      <xdr:colOff>0</xdr:colOff>
      <xdr:row>609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57600" y="964977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653</xdr:row>
      <xdr:rowOff>0</xdr:rowOff>
    </xdr:from>
    <xdr:to>
      <xdr:col>6</xdr:col>
      <xdr:colOff>0</xdr:colOff>
      <xdr:row>654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57600" y="1036129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295275</xdr:colOff>
      <xdr:row>667</xdr:row>
      <xdr:rowOff>28575</xdr:rowOff>
    </xdr:from>
    <xdr:to>
      <xdr:col>10</xdr:col>
      <xdr:colOff>381000</xdr:colOff>
      <xdr:row>670</xdr:row>
      <xdr:rowOff>152400</xdr:rowOff>
    </xdr:to>
    <xdr:sp>
      <xdr:nvSpPr>
        <xdr:cNvPr id="13" name="Rectangle 13"/>
        <xdr:cNvSpPr>
          <a:spLocks/>
        </xdr:cNvSpPr>
      </xdr:nvSpPr>
      <xdr:spPr>
        <a:xfrm rot="5400000">
          <a:off x="8105775" y="105851325"/>
          <a:ext cx="857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698</xdr:row>
      <xdr:rowOff>0</xdr:rowOff>
    </xdr:from>
    <xdr:to>
      <xdr:col>6</xdr:col>
      <xdr:colOff>0</xdr:colOff>
      <xdr:row>699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57600" y="1106709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743</xdr:row>
      <xdr:rowOff>0</xdr:rowOff>
    </xdr:from>
    <xdr:to>
      <xdr:col>6</xdr:col>
      <xdr:colOff>0</xdr:colOff>
      <xdr:row>744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57600" y="1177861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57600" y="677703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57600" y="387191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57600" y="463581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790</xdr:row>
      <xdr:rowOff>0</xdr:rowOff>
    </xdr:from>
    <xdr:to>
      <xdr:col>6</xdr:col>
      <xdr:colOff>0</xdr:colOff>
      <xdr:row>791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657600" y="1252251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839</xdr:row>
      <xdr:rowOff>0</xdr:rowOff>
    </xdr:from>
    <xdr:to>
      <xdr:col>6</xdr:col>
      <xdr:colOff>0</xdr:colOff>
      <xdr:row>840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57600" y="1329880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887</xdr:row>
      <xdr:rowOff>0</xdr:rowOff>
    </xdr:from>
    <xdr:to>
      <xdr:col>6</xdr:col>
      <xdr:colOff>0</xdr:colOff>
      <xdr:row>888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657600" y="1405890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934</xdr:row>
      <xdr:rowOff>0</xdr:rowOff>
    </xdr:from>
    <xdr:to>
      <xdr:col>6</xdr:col>
      <xdr:colOff>0</xdr:colOff>
      <xdr:row>935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57600" y="1480470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978</xdr:row>
      <xdr:rowOff>0</xdr:rowOff>
    </xdr:from>
    <xdr:to>
      <xdr:col>6</xdr:col>
      <xdr:colOff>0</xdr:colOff>
      <xdr:row>979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657600" y="1550098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52825" y="31813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552825" y="104775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52825" y="178117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52825" y="251460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552825" y="324802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552825" y="546449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52825" y="619696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484</xdr:row>
      <xdr:rowOff>0</xdr:rowOff>
    </xdr:from>
    <xdr:to>
      <xdr:col>6</xdr:col>
      <xdr:colOff>0</xdr:colOff>
      <xdr:row>485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52825" y="770667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531</xdr:row>
      <xdr:rowOff>0</xdr:rowOff>
    </xdr:from>
    <xdr:to>
      <xdr:col>6</xdr:col>
      <xdr:colOff>0</xdr:colOff>
      <xdr:row>532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552825" y="845820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578</xdr:row>
      <xdr:rowOff>0</xdr:rowOff>
    </xdr:from>
    <xdr:to>
      <xdr:col>6</xdr:col>
      <xdr:colOff>0</xdr:colOff>
      <xdr:row>579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552825" y="920972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625</xdr:row>
      <xdr:rowOff>0</xdr:rowOff>
    </xdr:from>
    <xdr:to>
      <xdr:col>6</xdr:col>
      <xdr:colOff>0</xdr:colOff>
      <xdr:row>626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552825" y="995648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672</xdr:row>
      <xdr:rowOff>0</xdr:rowOff>
    </xdr:from>
    <xdr:to>
      <xdr:col>6</xdr:col>
      <xdr:colOff>0</xdr:colOff>
      <xdr:row>673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552825" y="1070324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719</xdr:row>
      <xdr:rowOff>0</xdr:rowOff>
    </xdr:from>
    <xdr:to>
      <xdr:col>6</xdr:col>
      <xdr:colOff>0</xdr:colOff>
      <xdr:row>720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3552825" y="1144619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764</xdr:row>
      <xdr:rowOff>0</xdr:rowOff>
    </xdr:from>
    <xdr:to>
      <xdr:col>6</xdr:col>
      <xdr:colOff>0</xdr:colOff>
      <xdr:row>765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552825" y="1215961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436</xdr:row>
      <xdr:rowOff>0</xdr:rowOff>
    </xdr:from>
    <xdr:to>
      <xdr:col>6</xdr:col>
      <xdr:colOff>0</xdr:colOff>
      <xdr:row>437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552825" y="694277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3552825" y="396525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552825" y="473106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810</xdr:row>
      <xdr:rowOff>0</xdr:rowOff>
    </xdr:from>
    <xdr:to>
      <xdr:col>6</xdr:col>
      <xdr:colOff>0</xdr:colOff>
      <xdr:row>811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52825" y="1288923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57600" y="31527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57600" y="102679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57600" y="174212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57600" y="245745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57600" y="317277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57600" y="535114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57600" y="606552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473</xdr:row>
      <xdr:rowOff>0</xdr:rowOff>
    </xdr:from>
    <xdr:to>
      <xdr:col>6</xdr:col>
      <xdr:colOff>0</xdr:colOff>
      <xdr:row>474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57600" y="750570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518</xdr:row>
      <xdr:rowOff>0</xdr:rowOff>
    </xdr:from>
    <xdr:to>
      <xdr:col>6</xdr:col>
      <xdr:colOff>0</xdr:colOff>
      <xdr:row>519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57600" y="822198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563</xdr:row>
      <xdr:rowOff>0</xdr:rowOff>
    </xdr:from>
    <xdr:to>
      <xdr:col>6</xdr:col>
      <xdr:colOff>0</xdr:colOff>
      <xdr:row>564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57600" y="893826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608</xdr:row>
      <xdr:rowOff>0</xdr:rowOff>
    </xdr:from>
    <xdr:to>
      <xdr:col>6</xdr:col>
      <xdr:colOff>0</xdr:colOff>
      <xdr:row>609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57600" y="964977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653</xdr:row>
      <xdr:rowOff>0</xdr:rowOff>
    </xdr:from>
    <xdr:to>
      <xdr:col>6</xdr:col>
      <xdr:colOff>0</xdr:colOff>
      <xdr:row>654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57600" y="1036129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295275</xdr:colOff>
      <xdr:row>667</xdr:row>
      <xdr:rowOff>28575</xdr:rowOff>
    </xdr:from>
    <xdr:to>
      <xdr:col>10</xdr:col>
      <xdr:colOff>381000</xdr:colOff>
      <xdr:row>670</xdr:row>
      <xdr:rowOff>152400</xdr:rowOff>
    </xdr:to>
    <xdr:sp>
      <xdr:nvSpPr>
        <xdr:cNvPr id="13" name="Rectangle 13"/>
        <xdr:cNvSpPr>
          <a:spLocks/>
        </xdr:cNvSpPr>
      </xdr:nvSpPr>
      <xdr:spPr>
        <a:xfrm rot="5400000">
          <a:off x="8105775" y="105851325"/>
          <a:ext cx="857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698</xdr:row>
      <xdr:rowOff>0</xdr:rowOff>
    </xdr:from>
    <xdr:to>
      <xdr:col>6</xdr:col>
      <xdr:colOff>0</xdr:colOff>
      <xdr:row>699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57600" y="1106709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743</xdr:row>
      <xdr:rowOff>0</xdr:rowOff>
    </xdr:from>
    <xdr:to>
      <xdr:col>6</xdr:col>
      <xdr:colOff>0</xdr:colOff>
      <xdr:row>744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57600" y="1177861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57600" y="677703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57600" y="3871912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57600" y="463581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790</xdr:row>
      <xdr:rowOff>0</xdr:rowOff>
    </xdr:from>
    <xdr:to>
      <xdr:col>6</xdr:col>
      <xdr:colOff>0</xdr:colOff>
      <xdr:row>791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657600" y="1252251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839</xdr:row>
      <xdr:rowOff>0</xdr:rowOff>
    </xdr:from>
    <xdr:to>
      <xdr:col>6</xdr:col>
      <xdr:colOff>0</xdr:colOff>
      <xdr:row>840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57600" y="1329880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887</xdr:row>
      <xdr:rowOff>0</xdr:rowOff>
    </xdr:from>
    <xdr:to>
      <xdr:col>6</xdr:col>
      <xdr:colOff>0</xdr:colOff>
      <xdr:row>888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657600" y="14058900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934</xdr:row>
      <xdr:rowOff>0</xdr:rowOff>
    </xdr:from>
    <xdr:to>
      <xdr:col>6</xdr:col>
      <xdr:colOff>0</xdr:colOff>
      <xdr:row>935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57600" y="148047075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978</xdr:row>
      <xdr:rowOff>0</xdr:rowOff>
    </xdr:from>
    <xdr:to>
      <xdr:col>6</xdr:col>
      <xdr:colOff>0</xdr:colOff>
      <xdr:row>979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657600" y="155009850"/>
          <a:ext cx="1533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15"/>
  <sheetViews>
    <sheetView view="pageLayout" zoomScaleNormal="145" workbookViewId="0" topLeftCell="A190">
      <selection activeCell="H192" sqref="H192:H193"/>
    </sheetView>
  </sheetViews>
  <sheetFormatPr defaultColWidth="9.140625" defaultRowHeight="12" customHeight="1"/>
  <cols>
    <col min="1" max="1" width="18.421875" style="9" customWidth="1"/>
    <col min="2" max="2" width="10.8515625" style="9" customWidth="1"/>
    <col min="3" max="3" width="10.7109375" style="112" customWidth="1"/>
    <col min="4" max="4" width="6.8515625" style="9" customWidth="1"/>
    <col min="5" max="5" width="14.57421875" style="9" customWidth="1"/>
    <col min="6" max="6" width="13.28125" style="112" customWidth="1"/>
    <col min="7" max="7" width="13.421875" style="9" customWidth="1"/>
    <col min="8" max="8" width="14.28125" style="9" customWidth="1"/>
    <col min="9" max="9" width="13.421875" style="112" customWidth="1"/>
    <col min="10" max="10" width="10.421875" style="9" customWidth="1"/>
    <col min="11" max="16384" width="9.140625" style="9" customWidth="1"/>
  </cols>
  <sheetData>
    <row r="1" spans="1:11" ht="12" customHeight="1" thickBot="1">
      <c r="A1" s="220"/>
      <c r="B1" s="220"/>
      <c r="C1" s="373"/>
      <c r="D1" s="220"/>
      <c r="E1" s="220"/>
      <c r="F1" s="373"/>
      <c r="G1" s="220"/>
      <c r="H1" s="220"/>
      <c r="I1" s="373"/>
      <c r="J1" s="220"/>
      <c r="K1" s="221"/>
    </row>
    <row r="2" spans="1:10" ht="12" customHeight="1">
      <c r="A2" s="290" t="s">
        <v>0</v>
      </c>
      <c r="B2" s="95" t="s">
        <v>32</v>
      </c>
      <c r="C2" s="372"/>
      <c r="D2" s="97"/>
      <c r="E2" s="95" t="s">
        <v>33</v>
      </c>
      <c r="F2" s="370"/>
      <c r="G2" s="97"/>
      <c r="H2" s="95" t="s">
        <v>34</v>
      </c>
      <c r="I2" s="372"/>
      <c r="J2" s="97"/>
    </row>
    <row r="3" spans="1:11" ht="12" customHeight="1">
      <c r="A3" s="9" t="s">
        <v>35</v>
      </c>
      <c r="B3" s="285" t="s">
        <v>200</v>
      </c>
      <c r="C3" s="308" t="s">
        <v>207</v>
      </c>
      <c r="D3" s="100" t="s">
        <v>67</v>
      </c>
      <c r="E3" s="285" t="str">
        <f>B3</f>
        <v>2018 Certified</v>
      </c>
      <c r="F3" s="308" t="s">
        <v>207</v>
      </c>
      <c r="G3" s="100" t="s">
        <v>67</v>
      </c>
      <c r="H3" s="101" t="str">
        <f>B3</f>
        <v>2018 Certified</v>
      </c>
      <c r="I3" s="384" t="s">
        <v>204</v>
      </c>
      <c r="J3" s="100" t="s">
        <v>67</v>
      </c>
      <c r="K3" s="287" t="s">
        <v>71</v>
      </c>
    </row>
    <row r="4" spans="1:10" ht="12" customHeight="1">
      <c r="A4" s="78" t="s">
        <v>115</v>
      </c>
      <c r="B4" s="103"/>
      <c r="C4" s="108"/>
      <c r="D4" s="105"/>
      <c r="E4" s="104"/>
      <c r="F4" s="108"/>
      <c r="G4" s="105"/>
      <c r="H4" s="103"/>
      <c r="I4" s="108"/>
      <c r="J4" s="105"/>
    </row>
    <row r="5" spans="1:11" ht="12" customHeight="1">
      <c r="A5" s="9" t="s">
        <v>36</v>
      </c>
      <c r="B5" s="107">
        <v>0</v>
      </c>
      <c r="C5" s="108"/>
      <c r="D5" s="105"/>
      <c r="E5" s="112">
        <v>23415890</v>
      </c>
      <c r="F5" s="112">
        <v>25030714</v>
      </c>
      <c r="G5" s="110">
        <f aca="true" t="shared" si="0" ref="G5:G15">(F5-E5)/E5</f>
        <v>0.06896274282122097</v>
      </c>
      <c r="H5" s="107">
        <f aca="true" t="shared" si="1" ref="H5:H16">B5+E5</f>
        <v>23415890</v>
      </c>
      <c r="I5" s="108">
        <f>(C5+F5)</f>
        <v>25030714</v>
      </c>
      <c r="J5" s="110">
        <f>(I5-H5)/H5</f>
        <v>0.06896274282122097</v>
      </c>
      <c r="K5" s="291">
        <f>I5/I16</f>
        <v>0.07465336149278413</v>
      </c>
    </row>
    <row r="6" spans="1:11" ht="12" customHeight="1">
      <c r="A6" s="9" t="s">
        <v>37</v>
      </c>
      <c r="B6" s="107">
        <v>0</v>
      </c>
      <c r="C6" s="108"/>
      <c r="D6" s="105"/>
      <c r="E6" s="112">
        <v>0</v>
      </c>
      <c r="F6" s="112">
        <v>0</v>
      </c>
      <c r="G6" s="110" t="e">
        <f t="shared" si="0"/>
        <v>#DIV/0!</v>
      </c>
      <c r="H6" s="107">
        <f t="shared" si="1"/>
        <v>0</v>
      </c>
      <c r="I6" s="108">
        <f aca="true" t="shared" si="2" ref="I6:I15">(C6+F6)</f>
        <v>0</v>
      </c>
      <c r="J6" s="110">
        <v>0</v>
      </c>
      <c r="K6" s="291">
        <f>I6/I16</f>
        <v>0</v>
      </c>
    </row>
    <row r="7" spans="1:11" ht="12" customHeight="1">
      <c r="A7" s="9" t="s">
        <v>38</v>
      </c>
      <c r="B7" s="107">
        <v>0</v>
      </c>
      <c r="C7" s="108"/>
      <c r="D7" s="105"/>
      <c r="E7" s="112">
        <v>917880</v>
      </c>
      <c r="F7" s="112">
        <v>807884</v>
      </c>
      <c r="G7" s="110">
        <f t="shared" si="0"/>
        <v>-0.11983701573190396</v>
      </c>
      <c r="H7" s="107">
        <f t="shared" si="1"/>
        <v>917880</v>
      </c>
      <c r="I7" s="108">
        <f t="shared" si="2"/>
        <v>807884</v>
      </c>
      <c r="J7" s="110">
        <f aca="true" t="shared" si="3" ref="J7:J13">(I7-H7)/H7</f>
        <v>-0.11983701573190396</v>
      </c>
      <c r="K7" s="291">
        <f>I7/I16</f>
        <v>0.002409490048755158</v>
      </c>
    </row>
    <row r="8" spans="1:11" ht="12" customHeight="1">
      <c r="A8" s="9" t="s">
        <v>39</v>
      </c>
      <c r="B8" s="107">
        <v>0</v>
      </c>
      <c r="C8" s="108"/>
      <c r="D8" s="105"/>
      <c r="E8" s="112">
        <v>178078290</v>
      </c>
      <c r="F8" s="112">
        <v>177145241</v>
      </c>
      <c r="G8" s="110">
        <f t="shared" si="0"/>
        <v>-0.005239543798404623</v>
      </c>
      <c r="H8" s="107">
        <f t="shared" si="1"/>
        <v>178078290</v>
      </c>
      <c r="I8" s="108">
        <f t="shared" si="2"/>
        <v>177145241</v>
      </c>
      <c r="J8" s="110">
        <f t="shared" si="3"/>
        <v>-0.005239543798404623</v>
      </c>
      <c r="K8" s="291">
        <f>I8/I16</f>
        <v>0.5283304228996171</v>
      </c>
    </row>
    <row r="9" spans="1:11" ht="12" customHeight="1">
      <c r="A9" s="9" t="s">
        <v>40</v>
      </c>
      <c r="B9" s="107">
        <v>0</v>
      </c>
      <c r="C9" s="108"/>
      <c r="D9" s="105"/>
      <c r="E9" s="112">
        <v>2061600</v>
      </c>
      <c r="F9" s="112">
        <v>2316554</v>
      </c>
      <c r="G9" s="110">
        <f t="shared" si="0"/>
        <v>0.12366802483507955</v>
      </c>
      <c r="H9" s="107">
        <f t="shared" si="1"/>
        <v>2061600</v>
      </c>
      <c r="I9" s="108">
        <f t="shared" si="2"/>
        <v>2316554</v>
      </c>
      <c r="J9" s="110">
        <f t="shared" si="3"/>
        <v>0.12366802483507955</v>
      </c>
      <c r="K9" s="291">
        <f>I9/I16</f>
        <v>0.0069090535403646515</v>
      </c>
    </row>
    <row r="10" spans="1:11" ht="12" customHeight="1">
      <c r="A10" s="9" t="s">
        <v>41</v>
      </c>
      <c r="B10" s="382">
        <v>49050610</v>
      </c>
      <c r="C10" s="108">
        <v>86199390</v>
      </c>
      <c r="D10" s="390">
        <f>(C10-B10)/B10</f>
        <v>0.7573561266618295</v>
      </c>
      <c r="E10" s="112">
        <v>0</v>
      </c>
      <c r="F10" s="112">
        <v>0</v>
      </c>
      <c r="G10" s="110" t="e">
        <f t="shared" si="0"/>
        <v>#DIV/0!</v>
      </c>
      <c r="H10" s="107">
        <f>SUM(B10+E10)</f>
        <v>49050610</v>
      </c>
      <c r="I10" s="108">
        <f t="shared" si="2"/>
        <v>86199390</v>
      </c>
      <c r="J10" s="110">
        <f t="shared" si="3"/>
        <v>0.7573561266618295</v>
      </c>
      <c r="K10" s="291">
        <f>I10/I16</f>
        <v>0.25708712193058025</v>
      </c>
    </row>
    <row r="11" spans="1:11" ht="12" customHeight="1">
      <c r="A11" s="9" t="s">
        <v>42</v>
      </c>
      <c r="B11" s="382">
        <v>27037490</v>
      </c>
      <c r="C11" s="108">
        <v>26366982</v>
      </c>
      <c r="D11" s="390">
        <f>(C11-B11)/B11</f>
        <v>-0.024799195487450944</v>
      </c>
      <c r="E11" s="112">
        <v>28480</v>
      </c>
      <c r="F11" s="112">
        <v>33640</v>
      </c>
      <c r="G11" s="110">
        <f t="shared" si="0"/>
        <v>0.18117977528089887</v>
      </c>
      <c r="H11" s="107">
        <f>SUM(B11+E11)</f>
        <v>27065970</v>
      </c>
      <c r="I11" s="108">
        <f t="shared" si="2"/>
        <v>26400622</v>
      </c>
      <c r="J11" s="110">
        <f t="shared" si="3"/>
        <v>-0.02458245538585907</v>
      </c>
      <c r="K11" s="291">
        <f>I11/I16</f>
        <v>0.07873907143840761</v>
      </c>
    </row>
    <row r="12" spans="1:11" ht="12" customHeight="1">
      <c r="A12" s="9" t="s">
        <v>43</v>
      </c>
      <c r="B12" s="382">
        <v>8387280</v>
      </c>
      <c r="C12" s="108">
        <v>6236925</v>
      </c>
      <c r="D12" s="390">
        <f>(C12-B12)/B12</f>
        <v>-0.2563828797893954</v>
      </c>
      <c r="E12" s="112">
        <v>3569090</v>
      </c>
      <c r="F12" s="112">
        <v>3040378</v>
      </c>
      <c r="G12" s="110">
        <f t="shared" si="0"/>
        <v>-0.14813635968832392</v>
      </c>
      <c r="H12" s="107">
        <f>SUM(B12+E12)</f>
        <v>11956370</v>
      </c>
      <c r="I12" s="108">
        <f t="shared" si="2"/>
        <v>9277303</v>
      </c>
      <c r="J12" s="110">
        <f t="shared" si="3"/>
        <v>-0.2240702654735509</v>
      </c>
      <c r="K12" s="291">
        <f>I12/I16</f>
        <v>0.027669280809851877</v>
      </c>
    </row>
    <row r="13" spans="1:11" ht="12" customHeight="1">
      <c r="A13" s="9" t="s">
        <v>44</v>
      </c>
      <c r="B13" s="107">
        <v>0</v>
      </c>
      <c r="C13" s="108"/>
      <c r="D13" s="110"/>
      <c r="E13" s="112">
        <v>3355230</v>
      </c>
      <c r="F13" s="112">
        <v>3726449</v>
      </c>
      <c r="G13" s="110">
        <f t="shared" si="0"/>
        <v>0.11063891298063024</v>
      </c>
      <c r="H13" s="107">
        <f t="shared" si="1"/>
        <v>3355230</v>
      </c>
      <c r="I13" s="108">
        <f t="shared" si="2"/>
        <v>3726449</v>
      </c>
      <c r="J13" s="110">
        <f t="shared" si="3"/>
        <v>0.11063891298063024</v>
      </c>
      <c r="K13" s="291">
        <f>I13/I16</f>
        <v>0.011114023526513224</v>
      </c>
    </row>
    <row r="14" spans="1:11" ht="12" customHeight="1">
      <c r="A14" s="9" t="s">
        <v>45</v>
      </c>
      <c r="B14" s="107">
        <v>0</v>
      </c>
      <c r="C14" s="108"/>
      <c r="D14" s="110"/>
      <c r="E14" s="112">
        <v>84120</v>
      </c>
      <c r="F14" s="112">
        <v>81596</v>
      </c>
      <c r="G14" s="110">
        <f t="shared" si="0"/>
        <v>-0.030004755111745125</v>
      </c>
      <c r="H14" s="107">
        <f t="shared" si="1"/>
        <v>84120</v>
      </c>
      <c r="I14" s="108">
        <f t="shared" si="2"/>
        <v>81596</v>
      </c>
      <c r="J14" s="110">
        <v>0</v>
      </c>
      <c r="K14" s="291">
        <f>I14/I16</f>
        <v>0.00024335764790270122</v>
      </c>
    </row>
    <row r="15" spans="1:11" ht="12" customHeight="1" thickBot="1">
      <c r="A15" s="9" t="s">
        <v>46</v>
      </c>
      <c r="B15" s="276">
        <v>0</v>
      </c>
      <c r="C15" s="277"/>
      <c r="D15" s="278"/>
      <c r="E15" s="112">
        <v>4297630</v>
      </c>
      <c r="F15" s="112">
        <v>4306771</v>
      </c>
      <c r="G15" s="110">
        <f t="shared" si="0"/>
        <v>0.0021269862691762668</v>
      </c>
      <c r="H15" s="107">
        <f t="shared" si="1"/>
        <v>4297630</v>
      </c>
      <c r="I15" s="108">
        <f t="shared" si="2"/>
        <v>4306771</v>
      </c>
      <c r="J15" s="292">
        <f aca="true" t="shared" si="4" ref="J15:J21">(I15-H15)/H15</f>
        <v>0.0021269862691762668</v>
      </c>
      <c r="K15" s="293">
        <f>I15/I16</f>
        <v>0.01284481666522335</v>
      </c>
    </row>
    <row r="16" spans="1:11" ht="12" customHeight="1" thickBot="1">
      <c r="A16" s="294" t="s">
        <v>47</v>
      </c>
      <c r="B16" s="276">
        <f>SUM(B10:B12)</f>
        <v>84475380</v>
      </c>
      <c r="C16" s="277">
        <f>SUM(C10:C12)</f>
        <v>118803297</v>
      </c>
      <c r="D16" s="391">
        <f>(C16-B16)/B16</f>
        <v>0.40636593762585027</v>
      </c>
      <c r="E16" s="295">
        <f>SUM(E5:E15)</f>
        <v>215808210</v>
      </c>
      <c r="F16" s="296">
        <f>SUM(F5:F15)</f>
        <v>216489227</v>
      </c>
      <c r="G16" s="297">
        <f>(F16-E16)/E16</f>
        <v>0.0031556584432075128</v>
      </c>
      <c r="H16" s="295">
        <f t="shared" si="1"/>
        <v>300283590</v>
      </c>
      <c r="I16" s="298">
        <f>C16+F16</f>
        <v>335292524</v>
      </c>
      <c r="J16" s="297">
        <f t="shared" si="4"/>
        <v>0.11658623769617248</v>
      </c>
      <c r="K16" s="117">
        <f>SUM(K5:K15)</f>
        <v>1</v>
      </c>
    </row>
    <row r="17" spans="1:10" ht="12" customHeight="1">
      <c r="A17" s="113" t="s">
        <v>73</v>
      </c>
      <c r="B17" s="114"/>
      <c r="D17" s="115"/>
      <c r="E17" s="114"/>
      <c r="H17" s="116">
        <v>0</v>
      </c>
      <c r="I17" s="112">
        <v>0</v>
      </c>
      <c r="J17" s="117" t="e">
        <f t="shared" si="4"/>
        <v>#DIV/0!</v>
      </c>
    </row>
    <row r="18" spans="1:10" ht="12" customHeight="1">
      <c r="A18" s="113" t="s">
        <v>174</v>
      </c>
      <c r="B18" s="114"/>
      <c r="D18" s="115"/>
      <c r="E18" s="114"/>
      <c r="H18" s="118">
        <v>-412230</v>
      </c>
      <c r="I18" s="112">
        <v>-236910</v>
      </c>
      <c r="J18" s="117">
        <f t="shared" si="4"/>
        <v>-0.42529655774688885</v>
      </c>
    </row>
    <row r="19" spans="1:10" ht="12" customHeight="1">
      <c r="A19" s="113" t="s">
        <v>49</v>
      </c>
      <c r="B19" s="114"/>
      <c r="D19" s="115"/>
      <c r="E19" s="114"/>
      <c r="H19" s="118">
        <v>-48945000</v>
      </c>
      <c r="I19" s="112">
        <v>-48128150</v>
      </c>
      <c r="J19" s="117">
        <f t="shared" si="4"/>
        <v>-0.016689140872407804</v>
      </c>
    </row>
    <row r="20" spans="1:10" ht="12" customHeight="1">
      <c r="A20" s="294" t="s">
        <v>50</v>
      </c>
      <c r="B20" s="299"/>
      <c r="C20" s="392"/>
      <c r="D20" s="300"/>
      <c r="E20" s="299"/>
      <c r="F20" s="392"/>
      <c r="G20" s="301"/>
      <c r="H20" s="283">
        <f>SUM(H16:H19)</f>
        <v>250926360</v>
      </c>
      <c r="I20" s="302">
        <f>SUM(I16:I19)</f>
        <v>286927464</v>
      </c>
      <c r="J20" s="303">
        <f t="shared" si="4"/>
        <v>0.1434727861991064</v>
      </c>
    </row>
    <row r="21" spans="1:10" ht="12" customHeight="1">
      <c r="A21" s="113" t="s">
        <v>127</v>
      </c>
      <c r="B21" s="114"/>
      <c r="D21" s="115"/>
      <c r="E21" s="114"/>
      <c r="H21" s="120">
        <v>-328240</v>
      </c>
      <c r="I21" s="112">
        <v>-342000</v>
      </c>
      <c r="J21" s="117">
        <f t="shared" si="4"/>
        <v>0.04192054594199366</v>
      </c>
    </row>
    <row r="22" spans="1:10" ht="12" customHeight="1">
      <c r="A22" s="113" t="s">
        <v>78</v>
      </c>
      <c r="B22" s="114"/>
      <c r="D22" s="115"/>
      <c r="E22" s="114"/>
      <c r="H22" s="119">
        <v>0</v>
      </c>
      <c r="I22" s="112">
        <v>0</v>
      </c>
      <c r="J22" s="117">
        <v>0</v>
      </c>
    </row>
    <row r="23" spans="1:10" ht="12" customHeight="1">
      <c r="A23" s="113" t="s">
        <v>128</v>
      </c>
      <c r="B23" s="114"/>
      <c r="D23" s="115"/>
      <c r="E23" s="114"/>
      <c r="H23" s="119">
        <v>0</v>
      </c>
      <c r="I23" s="112">
        <v>0</v>
      </c>
      <c r="J23" s="117">
        <v>0</v>
      </c>
    </row>
    <row r="24" spans="1:10" ht="12" customHeight="1">
      <c r="A24" s="113" t="s">
        <v>157</v>
      </c>
      <c r="B24" s="114"/>
      <c r="D24" s="115"/>
      <c r="E24" s="114"/>
      <c r="H24" s="118">
        <v>-4419070</v>
      </c>
      <c r="I24" s="112">
        <v>-4561150</v>
      </c>
      <c r="J24" s="117">
        <f aca="true" t="shared" si="5" ref="J24:J30">(I24-H24)/H24</f>
        <v>0.032151561301359786</v>
      </c>
    </row>
    <row r="25" spans="1:10" ht="12" customHeight="1">
      <c r="A25" s="113" t="s">
        <v>53</v>
      </c>
      <c r="B25" s="114"/>
      <c r="D25" s="115"/>
      <c r="E25" s="114"/>
      <c r="H25" s="118">
        <v>-17107008</v>
      </c>
      <c r="I25" s="112">
        <v>-17007149</v>
      </c>
      <c r="J25" s="117">
        <f t="shared" si="5"/>
        <v>-0.00583731532714546</v>
      </c>
    </row>
    <row r="26" spans="1:10" ht="12" customHeight="1">
      <c r="A26" s="113" t="s">
        <v>54</v>
      </c>
      <c r="B26" s="114"/>
      <c r="D26" s="115"/>
      <c r="E26" s="114"/>
      <c r="H26" s="118">
        <v>-2101524</v>
      </c>
      <c r="I26" s="112">
        <v>-2155531</v>
      </c>
      <c r="J26" s="117">
        <f t="shared" si="5"/>
        <v>0.02569896893873208</v>
      </c>
    </row>
    <row r="27" spans="1:10" ht="12" customHeight="1">
      <c r="A27" s="113" t="s">
        <v>55</v>
      </c>
      <c r="B27" s="114"/>
      <c r="D27" s="115"/>
      <c r="E27" s="114"/>
      <c r="H27" s="118">
        <v>-236912</v>
      </c>
      <c r="I27" s="112">
        <v>-224448</v>
      </c>
      <c r="J27" s="117">
        <f t="shared" si="5"/>
        <v>-0.052610251907881406</v>
      </c>
    </row>
    <row r="28" spans="1:10" ht="12" customHeight="1">
      <c r="A28" s="113" t="s">
        <v>56</v>
      </c>
      <c r="B28" s="114"/>
      <c r="D28" s="115"/>
      <c r="E28" s="114"/>
      <c r="H28" s="118">
        <v>-1660844</v>
      </c>
      <c r="I28" s="112">
        <v>-1876215</v>
      </c>
      <c r="J28" s="117">
        <f t="shared" si="5"/>
        <v>0.12967563479772934</v>
      </c>
    </row>
    <row r="29" spans="1:10" ht="12" customHeight="1">
      <c r="A29" s="113" t="s">
        <v>57</v>
      </c>
      <c r="B29" s="114"/>
      <c r="D29" s="115"/>
      <c r="E29" s="114"/>
      <c r="H29" s="118">
        <v>-18694036</v>
      </c>
      <c r="I29" s="112">
        <v>-19109908</v>
      </c>
      <c r="J29" s="117">
        <f t="shared" si="5"/>
        <v>0.022246239388861774</v>
      </c>
    </row>
    <row r="30" spans="1:10" ht="12" customHeight="1">
      <c r="A30" s="113" t="s">
        <v>58</v>
      </c>
      <c r="B30" s="114"/>
      <c r="D30" s="115"/>
      <c r="E30" s="114"/>
      <c r="H30" s="118">
        <v>-591712</v>
      </c>
      <c r="I30" s="112">
        <v>-601959</v>
      </c>
      <c r="J30" s="117">
        <f t="shared" si="5"/>
        <v>0.017317546373911634</v>
      </c>
    </row>
    <row r="31" spans="1:10" ht="12" customHeight="1">
      <c r="A31" s="113" t="s">
        <v>59</v>
      </c>
      <c r="B31" s="114"/>
      <c r="D31" s="115"/>
      <c r="E31" s="114"/>
      <c r="H31" s="119">
        <v>0</v>
      </c>
      <c r="I31" s="112">
        <v>0</v>
      </c>
      <c r="J31" s="117">
        <v>0</v>
      </c>
    </row>
    <row r="32" spans="1:10" ht="12" customHeight="1">
      <c r="A32" s="294" t="s">
        <v>60</v>
      </c>
      <c r="B32" s="301"/>
      <c r="C32" s="392"/>
      <c r="D32" s="301"/>
      <c r="E32" s="301"/>
      <c r="F32" s="392"/>
      <c r="G32" s="301"/>
      <c r="H32" s="283">
        <f>SUM(H20:H31)</f>
        <v>205787014</v>
      </c>
      <c r="I32" s="304">
        <f>SUM(I20:I31)</f>
        <v>241049104</v>
      </c>
      <c r="J32" s="303">
        <f>(I32-H32)/H32</f>
        <v>0.17135235753991745</v>
      </c>
    </row>
    <row r="33" spans="1:10" ht="12" customHeight="1">
      <c r="A33" s="121" t="s">
        <v>61</v>
      </c>
      <c r="B33" s="104"/>
      <c r="C33" s="108"/>
      <c r="D33" s="104"/>
      <c r="E33" s="112">
        <v>13901645</v>
      </c>
      <c r="F33" s="112">
        <v>14234875</v>
      </c>
      <c r="G33" s="123">
        <f>(F33-E33)/E33</f>
        <v>0.023970544493115743</v>
      </c>
      <c r="H33" s="124"/>
      <c r="I33" s="125"/>
      <c r="J33" s="126"/>
    </row>
    <row r="34" spans="1:10" ht="12" customHeight="1">
      <c r="A34" s="121" t="s">
        <v>19</v>
      </c>
      <c r="B34" s="104"/>
      <c r="C34" s="108"/>
      <c r="D34" s="104"/>
      <c r="E34" s="236">
        <v>136385.95</v>
      </c>
      <c r="F34" s="112">
        <v>139185.91</v>
      </c>
      <c r="G34" s="123">
        <f>(F34-E34)/E34</f>
        <v>0.020529680659921286</v>
      </c>
      <c r="H34" s="124"/>
      <c r="I34" s="125"/>
      <c r="J34" s="126"/>
    </row>
    <row r="35" spans="1:11" ht="12" customHeight="1">
      <c r="A35" s="121" t="s">
        <v>185</v>
      </c>
      <c r="B35" s="104"/>
      <c r="C35" s="108"/>
      <c r="D35" s="104"/>
      <c r="E35" s="281">
        <v>1.35</v>
      </c>
      <c r="F35" s="138">
        <v>1.14147</v>
      </c>
      <c r="G35" s="123">
        <f>(F35-E35)/E35</f>
        <v>-0.15446666666666672</v>
      </c>
      <c r="H35" s="125"/>
      <c r="I35" s="125"/>
      <c r="J35" s="126"/>
      <c r="K35" s="130"/>
    </row>
    <row r="36" spans="1:10" ht="12" customHeight="1">
      <c r="A36" s="121" t="s">
        <v>62</v>
      </c>
      <c r="B36" s="104"/>
      <c r="C36" s="108"/>
      <c r="D36" s="104"/>
      <c r="E36" s="104"/>
      <c r="F36" s="108"/>
      <c r="G36" s="104"/>
      <c r="H36" s="305">
        <v>2728203</v>
      </c>
      <c r="I36" s="131">
        <f>(I32-F33)*F35/100+F34</f>
        <v>2728202.2897663</v>
      </c>
      <c r="J36" s="123">
        <f>(I36-H36)/H36</f>
        <v>-2.603302246922331E-07</v>
      </c>
    </row>
    <row r="37" spans="1:10" ht="12" customHeight="1">
      <c r="A37" s="121" t="s">
        <v>18</v>
      </c>
      <c r="B37" s="104"/>
      <c r="C37" s="108"/>
      <c r="D37" s="104"/>
      <c r="E37" s="104"/>
      <c r="F37" s="108"/>
      <c r="G37" s="104"/>
      <c r="H37" s="131">
        <v>2909897</v>
      </c>
      <c r="I37" s="112">
        <v>3487330</v>
      </c>
      <c r="J37" s="123">
        <f>(I37-H37)/H37</f>
        <v>0.1984376079290779</v>
      </c>
    </row>
    <row r="38" spans="1:10" ht="12" customHeight="1">
      <c r="A38" s="121" t="s">
        <v>17</v>
      </c>
      <c r="B38" s="104"/>
      <c r="C38" s="108"/>
      <c r="D38" s="104"/>
      <c r="E38" s="104"/>
      <c r="F38" s="108"/>
      <c r="G38" s="104"/>
      <c r="H38" s="131">
        <v>23811</v>
      </c>
      <c r="I38" s="112">
        <v>24123</v>
      </c>
      <c r="J38" s="123">
        <f>(I38-H38)/H38</f>
        <v>0.013103187602368654</v>
      </c>
    </row>
    <row r="39" spans="1:10" s="136" customFormat="1" ht="12" customHeight="1" thickBot="1">
      <c r="A39" s="132"/>
      <c r="B39" s="133"/>
      <c r="C39" s="371"/>
      <c r="D39" s="133"/>
      <c r="E39" s="133"/>
      <c r="F39" s="371"/>
      <c r="G39" s="133"/>
      <c r="H39" s="134"/>
      <c r="I39" s="134"/>
      <c r="J39" s="135"/>
    </row>
    <row r="40" spans="1:10" ht="12" customHeight="1">
      <c r="A40" s="290" t="s">
        <v>1</v>
      </c>
      <c r="B40" s="95" t="s">
        <v>32</v>
      </c>
      <c r="C40" s="370"/>
      <c r="D40" s="97"/>
      <c r="E40" s="95" t="s">
        <v>33</v>
      </c>
      <c r="F40" s="372"/>
      <c r="G40" s="97"/>
      <c r="H40" s="95" t="s">
        <v>34</v>
      </c>
      <c r="I40" s="372"/>
      <c r="J40" s="97"/>
    </row>
    <row r="41" spans="1:11" ht="12" customHeight="1">
      <c r="A41" s="9" t="s">
        <v>35</v>
      </c>
      <c r="B41" s="285" t="s">
        <v>200</v>
      </c>
      <c r="C41" s="308" t="s">
        <v>207</v>
      </c>
      <c r="D41" s="100" t="s">
        <v>67</v>
      </c>
      <c r="E41" s="285" t="str">
        <f>B41</f>
        <v>2018 Certified</v>
      </c>
      <c r="F41" s="308" t="s">
        <v>207</v>
      </c>
      <c r="G41" s="100" t="s">
        <v>67</v>
      </c>
      <c r="H41" s="101" t="str">
        <f>B41</f>
        <v>2018 Certified</v>
      </c>
      <c r="I41" s="384" t="s">
        <v>204</v>
      </c>
      <c r="J41" s="100" t="s">
        <v>67</v>
      </c>
      <c r="K41" s="287" t="s">
        <v>71</v>
      </c>
    </row>
    <row r="42" spans="2:10" ht="12" customHeight="1">
      <c r="B42" s="103"/>
      <c r="C42" s="108"/>
      <c r="D42" s="105"/>
      <c r="E42" s="103"/>
      <c r="F42" s="108"/>
      <c r="G42" s="105"/>
      <c r="H42" s="103"/>
      <c r="I42" s="108"/>
      <c r="J42" s="105"/>
    </row>
    <row r="43" spans="1:11" ht="12" customHeight="1">
      <c r="A43" s="9" t="s">
        <v>36</v>
      </c>
      <c r="B43" s="107">
        <v>0</v>
      </c>
      <c r="C43" s="108"/>
      <c r="D43" s="105"/>
      <c r="E43" s="109">
        <v>771532480</v>
      </c>
      <c r="F43" s="109">
        <v>775078937</v>
      </c>
      <c r="G43" s="110">
        <f>(F43-E43)/E43</f>
        <v>0.0045966399237009434</v>
      </c>
      <c r="H43" s="107">
        <f aca="true" t="shared" si="6" ref="H43:H53">B43+E43</f>
        <v>771532480</v>
      </c>
      <c r="I43" s="108">
        <f aca="true" t="shared" si="7" ref="I43:I53">C43+F43</f>
        <v>775078937</v>
      </c>
      <c r="J43" s="110">
        <f aca="true" t="shared" si="8" ref="J43:J54">(I43-H43)/H43</f>
        <v>0.0045966399237009434</v>
      </c>
      <c r="K43" s="291">
        <f>I43/I54</f>
        <v>0.24943933863457235</v>
      </c>
    </row>
    <row r="44" spans="1:11" ht="12" customHeight="1">
      <c r="A44" s="9" t="s">
        <v>37</v>
      </c>
      <c r="B44" s="107">
        <v>0</v>
      </c>
      <c r="C44" s="108"/>
      <c r="D44" s="105"/>
      <c r="E44" s="109">
        <v>34725560</v>
      </c>
      <c r="F44" s="109">
        <v>37150699</v>
      </c>
      <c r="G44" s="110">
        <f>(F44-E44)/E44</f>
        <v>0.06983728988099831</v>
      </c>
      <c r="H44" s="107">
        <f t="shared" si="6"/>
        <v>34725560</v>
      </c>
      <c r="I44" s="108">
        <f t="shared" si="7"/>
        <v>37150699</v>
      </c>
      <c r="J44" s="110">
        <f t="shared" si="8"/>
        <v>0.06983728988099831</v>
      </c>
      <c r="K44" s="291">
        <f>I44/I54</f>
        <v>0.01195600260308979</v>
      </c>
    </row>
    <row r="45" spans="1:11" ht="12" customHeight="1">
      <c r="A45" s="9" t="s">
        <v>38</v>
      </c>
      <c r="B45" s="107">
        <v>0</v>
      </c>
      <c r="C45" s="108"/>
      <c r="D45" s="105"/>
      <c r="E45" s="109">
        <v>11957070</v>
      </c>
      <c r="F45" s="109">
        <v>10365595</v>
      </c>
      <c r="G45" s="110">
        <f>(F45-E45)/E45</f>
        <v>-0.13309907862043127</v>
      </c>
      <c r="H45" s="107">
        <f t="shared" si="6"/>
        <v>11957070</v>
      </c>
      <c r="I45" s="108">
        <f t="shared" si="7"/>
        <v>10365595</v>
      </c>
      <c r="J45" s="110">
        <f t="shared" si="8"/>
        <v>-0.13309907862043127</v>
      </c>
      <c r="K45" s="291">
        <f>I45/I54</f>
        <v>0.003335901722941324</v>
      </c>
    </row>
    <row r="46" spans="1:11" ht="12" customHeight="1">
      <c r="A46" s="9" t="s">
        <v>39</v>
      </c>
      <c r="B46" s="107">
        <v>0</v>
      </c>
      <c r="C46" s="108"/>
      <c r="D46" s="105"/>
      <c r="E46" s="109">
        <v>585053520</v>
      </c>
      <c r="F46" s="109">
        <v>584220912</v>
      </c>
      <c r="G46" s="110">
        <f>(F46-E46)/E46</f>
        <v>-0.0014231313401891848</v>
      </c>
      <c r="H46" s="107">
        <f t="shared" si="6"/>
        <v>585053520</v>
      </c>
      <c r="I46" s="108">
        <f t="shared" si="7"/>
        <v>584220912</v>
      </c>
      <c r="J46" s="110">
        <f t="shared" si="8"/>
        <v>-0.0014231313401891848</v>
      </c>
      <c r="K46" s="291">
        <f>I46/I54</f>
        <v>0.1880165631513822</v>
      </c>
    </row>
    <row r="47" spans="1:11" ht="12" customHeight="1">
      <c r="A47" s="9" t="s">
        <v>40</v>
      </c>
      <c r="B47" s="107">
        <v>761314440</v>
      </c>
      <c r="C47" s="108">
        <v>739878432</v>
      </c>
      <c r="D47" s="110">
        <f>(C47-B47)/B47</f>
        <v>-0.028156576144805556</v>
      </c>
      <c r="E47" s="109">
        <v>107907630</v>
      </c>
      <c r="F47" s="109">
        <v>112173264</v>
      </c>
      <c r="G47" s="110">
        <f>(F47-E47)/E47</f>
        <v>0.03953042060139769</v>
      </c>
      <c r="H47" s="107">
        <f t="shared" si="6"/>
        <v>869222070</v>
      </c>
      <c r="I47" s="108">
        <f t="shared" si="7"/>
        <v>852051696</v>
      </c>
      <c r="J47" s="110">
        <f t="shared" si="8"/>
        <v>-0.019753725305203078</v>
      </c>
      <c r="K47" s="291">
        <f>I47/I54</f>
        <v>0.2742110530771728</v>
      </c>
    </row>
    <row r="48" spans="1:11" ht="12" customHeight="1">
      <c r="A48" s="9" t="s">
        <v>41</v>
      </c>
      <c r="B48" s="152">
        <v>35188310</v>
      </c>
      <c r="C48" s="109">
        <v>41008263</v>
      </c>
      <c r="D48" s="110">
        <f>(C48-B48)/B48</f>
        <v>0.16539450175356532</v>
      </c>
      <c r="E48" s="109">
        <v>0</v>
      </c>
      <c r="F48" s="109">
        <v>0</v>
      </c>
      <c r="G48" s="110">
        <v>0</v>
      </c>
      <c r="H48" s="107">
        <f t="shared" si="6"/>
        <v>35188310</v>
      </c>
      <c r="I48" s="108">
        <f t="shared" si="7"/>
        <v>41008263</v>
      </c>
      <c r="J48" s="110">
        <f t="shared" si="8"/>
        <v>0.16539450175356532</v>
      </c>
      <c r="K48" s="291">
        <f>I48/I54</f>
        <v>0.013197460946190832</v>
      </c>
    </row>
    <row r="49" spans="1:11" ht="12" customHeight="1">
      <c r="A49" s="9" t="s">
        <v>42</v>
      </c>
      <c r="B49" s="152">
        <v>75756920</v>
      </c>
      <c r="C49" s="109">
        <v>65108465</v>
      </c>
      <c r="D49" s="110">
        <f>(C49-B49)/B49</f>
        <v>-0.14056082269448125</v>
      </c>
      <c r="E49" s="109">
        <v>506730</v>
      </c>
      <c r="F49" s="109">
        <v>531657</v>
      </c>
      <c r="G49" s="110">
        <f aca="true" t="shared" si="9" ref="G49:G54">(F49-E49)/E49</f>
        <v>0.04919187733112308</v>
      </c>
      <c r="H49" s="107">
        <f t="shared" si="6"/>
        <v>76263650</v>
      </c>
      <c r="I49" s="108">
        <f t="shared" si="7"/>
        <v>65640122</v>
      </c>
      <c r="J49" s="110">
        <f t="shared" si="8"/>
        <v>-0.13930002038979253</v>
      </c>
      <c r="K49" s="291">
        <f>I49/I54</f>
        <v>0.021124594977314733</v>
      </c>
    </row>
    <row r="50" spans="1:11" ht="12" customHeight="1">
      <c r="A50" s="9" t="s">
        <v>43</v>
      </c>
      <c r="B50" s="152">
        <v>553326730</v>
      </c>
      <c r="C50" s="109">
        <v>539895405</v>
      </c>
      <c r="D50" s="110">
        <f>(C50-B50)/B50</f>
        <v>-0.024273768592383022</v>
      </c>
      <c r="E50" s="109">
        <v>110687050</v>
      </c>
      <c r="F50" s="109">
        <v>108679789</v>
      </c>
      <c r="G50" s="110">
        <f t="shared" si="9"/>
        <v>-0.018134560456711062</v>
      </c>
      <c r="H50" s="107">
        <f t="shared" si="6"/>
        <v>664013780</v>
      </c>
      <c r="I50" s="108">
        <f t="shared" si="7"/>
        <v>648575194</v>
      </c>
      <c r="J50" s="110">
        <f t="shared" si="8"/>
        <v>-0.02325040001428886</v>
      </c>
      <c r="K50" s="291">
        <f>I50/I54</f>
        <v>0.20872734340108826</v>
      </c>
    </row>
    <row r="51" spans="1:11" ht="12" customHeight="1">
      <c r="A51" s="9" t="s">
        <v>44</v>
      </c>
      <c r="B51" s="107">
        <v>0</v>
      </c>
      <c r="C51" s="108"/>
      <c r="D51" s="110"/>
      <c r="E51" s="109">
        <v>18062000</v>
      </c>
      <c r="F51" s="109">
        <v>17627432</v>
      </c>
      <c r="G51" s="110">
        <f t="shared" si="9"/>
        <v>-0.024059794042741667</v>
      </c>
      <c r="H51" s="107">
        <f t="shared" si="6"/>
        <v>18062000</v>
      </c>
      <c r="I51" s="108">
        <f t="shared" si="7"/>
        <v>17627432</v>
      </c>
      <c r="J51" s="110">
        <f t="shared" si="8"/>
        <v>-0.024059794042741667</v>
      </c>
      <c r="K51" s="291">
        <f>I51/I54</f>
        <v>0.005672938290549749</v>
      </c>
    </row>
    <row r="52" spans="1:11" ht="12" customHeight="1">
      <c r="A52" s="9" t="s">
        <v>45</v>
      </c>
      <c r="B52" s="107">
        <v>0</v>
      </c>
      <c r="C52" s="108"/>
      <c r="D52" s="110"/>
      <c r="E52" s="109">
        <v>10917840</v>
      </c>
      <c r="F52" s="109">
        <v>9287876</v>
      </c>
      <c r="G52" s="110">
        <f t="shared" si="9"/>
        <v>-0.14929363317286204</v>
      </c>
      <c r="H52" s="107">
        <f t="shared" si="6"/>
        <v>10917840</v>
      </c>
      <c r="I52" s="108">
        <f t="shared" si="7"/>
        <v>9287876</v>
      </c>
      <c r="J52" s="110">
        <f t="shared" si="8"/>
        <v>-0.14929363317286204</v>
      </c>
      <c r="K52" s="291">
        <f>I52/I54</f>
        <v>0.0029890654179393823</v>
      </c>
    </row>
    <row r="53" spans="1:11" ht="12" customHeight="1">
      <c r="A53" s="9" t="s">
        <v>46</v>
      </c>
      <c r="B53" s="107">
        <v>0</v>
      </c>
      <c r="C53" s="108"/>
      <c r="D53" s="110"/>
      <c r="E53" s="109">
        <v>67824920</v>
      </c>
      <c r="F53" s="109">
        <v>66277559</v>
      </c>
      <c r="G53" s="110">
        <f t="shared" si="9"/>
        <v>-0.02281404828785644</v>
      </c>
      <c r="H53" s="107">
        <f t="shared" si="6"/>
        <v>67824920</v>
      </c>
      <c r="I53" s="108">
        <f t="shared" si="7"/>
        <v>66277559</v>
      </c>
      <c r="J53" s="110">
        <f t="shared" si="8"/>
        <v>-0.02281404828785644</v>
      </c>
      <c r="K53" s="293">
        <f>I53/I54</f>
        <v>0.02132973777775856</v>
      </c>
    </row>
    <row r="54" spans="1:11" ht="12" customHeight="1" thickBot="1">
      <c r="A54" s="294" t="s">
        <v>47</v>
      </c>
      <c r="B54" s="295">
        <f>SUM(B43:B53)</f>
        <v>1425586400</v>
      </c>
      <c r="C54" s="296">
        <f>SUM(C43:C53)</f>
        <v>1385890565</v>
      </c>
      <c r="D54" s="297">
        <f>(C54-B54)/B54</f>
        <v>-0.027845267743856143</v>
      </c>
      <c r="E54" s="295">
        <f>SUM(E43:E53)</f>
        <v>1719174800</v>
      </c>
      <c r="F54" s="296">
        <f>SUM(F43:F53)</f>
        <v>1721393720</v>
      </c>
      <c r="G54" s="297">
        <f t="shared" si="9"/>
        <v>0.0012906889980006688</v>
      </c>
      <c r="H54" s="295">
        <f>SUM(H43:H53)</f>
        <v>3144761200</v>
      </c>
      <c r="I54" s="298">
        <f>SUM(I43:I53)</f>
        <v>3107284285</v>
      </c>
      <c r="J54" s="297">
        <f t="shared" si="8"/>
        <v>-0.011917253049293535</v>
      </c>
      <c r="K54" s="117">
        <f>SUM(K43:K53)</f>
        <v>1</v>
      </c>
    </row>
    <row r="55" spans="1:10" ht="12" customHeight="1">
      <c r="A55" s="113" t="str">
        <f>A17</f>
        <v>Less Minimum Value Loss</v>
      </c>
      <c r="B55" s="114"/>
      <c r="D55" s="115"/>
      <c r="E55" s="114"/>
      <c r="H55" s="112">
        <v>0</v>
      </c>
      <c r="I55" s="118">
        <v>0</v>
      </c>
      <c r="J55" s="117">
        <v>0</v>
      </c>
    </row>
    <row r="56" spans="1:10" ht="12" customHeight="1">
      <c r="A56" s="113" t="s">
        <v>174</v>
      </c>
      <c r="B56" s="114"/>
      <c r="D56" s="115"/>
      <c r="E56" s="114"/>
      <c r="H56" s="118">
        <v>-3207029</v>
      </c>
      <c r="I56" s="118">
        <v>-1462250</v>
      </c>
      <c r="J56" s="117">
        <f>(I56-H56)/H56</f>
        <v>-0.5440484011837747</v>
      </c>
    </row>
    <row r="57" spans="1:10" ht="12" customHeight="1">
      <c r="A57" s="113" t="s">
        <v>49</v>
      </c>
      <c r="B57" s="114"/>
      <c r="D57" s="115"/>
      <c r="E57" s="114"/>
      <c r="H57" s="120">
        <v>-134547140</v>
      </c>
      <c r="I57" s="120">
        <v>-130161100</v>
      </c>
      <c r="J57" s="117">
        <f>(I57-H57)/H57</f>
        <v>-0.0325985375831846</v>
      </c>
    </row>
    <row r="58" spans="1:10" ht="12" customHeight="1">
      <c r="A58" s="294" t="s">
        <v>50</v>
      </c>
      <c r="B58" s="299"/>
      <c r="C58" s="392"/>
      <c r="D58" s="300"/>
      <c r="E58" s="299"/>
      <c r="F58" s="392"/>
      <c r="G58" s="301"/>
      <c r="H58" s="283">
        <f>SUM(H54:H57)</f>
        <v>3007007031</v>
      </c>
      <c r="I58" s="302">
        <f>SUM(I54:I57)</f>
        <v>2975660935</v>
      </c>
      <c r="J58" s="303">
        <f>(I58-H58)/H58</f>
        <v>-0.010424350750379074</v>
      </c>
    </row>
    <row r="59" spans="1:10" ht="12" customHeight="1">
      <c r="A59" s="113" t="s">
        <v>127</v>
      </c>
      <c r="B59" s="114"/>
      <c r="D59" s="115"/>
      <c r="E59" s="114"/>
      <c r="H59" s="120">
        <v>-464630</v>
      </c>
      <c r="I59" s="120">
        <v>-546700</v>
      </c>
      <c r="J59" s="117">
        <f>(I59-H59)/H59</f>
        <v>0.1766351720724017</v>
      </c>
    </row>
    <row r="60" spans="1:10" ht="12" customHeight="1">
      <c r="A60" s="113" t="s">
        <v>78</v>
      </c>
      <c r="B60" s="114"/>
      <c r="D60" s="115"/>
      <c r="E60" s="114"/>
      <c r="H60" s="120">
        <v>-16594010</v>
      </c>
      <c r="I60" s="120">
        <v>-16594010</v>
      </c>
      <c r="J60" s="117">
        <f>(I60-H60)/H60</f>
        <v>0</v>
      </c>
    </row>
    <row r="61" spans="1:10" ht="12" customHeight="1">
      <c r="A61" s="113" t="s">
        <v>128</v>
      </c>
      <c r="B61" s="114"/>
      <c r="D61" s="115"/>
      <c r="E61" s="114"/>
      <c r="H61" s="306">
        <v>0</v>
      </c>
      <c r="I61" s="119">
        <v>0</v>
      </c>
      <c r="J61" s="117">
        <v>0</v>
      </c>
    </row>
    <row r="62" spans="1:10" ht="12" customHeight="1">
      <c r="A62" s="113" t="s">
        <v>157</v>
      </c>
      <c r="B62" s="114"/>
      <c r="D62" s="115"/>
      <c r="E62" s="114"/>
      <c r="H62" s="118">
        <v>-67732100</v>
      </c>
      <c r="I62" s="118">
        <v>-68655050</v>
      </c>
      <c r="J62" s="117">
        <f aca="true" t="shared" si="10" ref="J62:J67">(I62-H62)/H62</f>
        <v>0.013626478434892762</v>
      </c>
    </row>
    <row r="63" spans="1:10" ht="12" customHeight="1">
      <c r="A63" s="113" t="s">
        <v>53</v>
      </c>
      <c r="B63" s="114"/>
      <c r="D63" s="115"/>
      <c r="E63" s="114"/>
      <c r="H63" s="118">
        <v>-128484600</v>
      </c>
      <c r="I63" s="118">
        <v>-127721799</v>
      </c>
      <c r="J63" s="117">
        <f t="shared" si="10"/>
        <v>-0.005936906057223979</v>
      </c>
    </row>
    <row r="64" spans="1:10" ht="12" customHeight="1">
      <c r="A64" s="113" t="s">
        <v>54</v>
      </c>
      <c r="B64" s="114"/>
      <c r="D64" s="115"/>
      <c r="E64" s="114"/>
      <c r="H64" s="118">
        <v>-14109525</v>
      </c>
      <c r="I64" s="118">
        <v>-14226786</v>
      </c>
      <c r="J64" s="117">
        <f t="shared" si="10"/>
        <v>0.008310768789169018</v>
      </c>
    </row>
    <row r="65" spans="1:10" ht="12" customHeight="1">
      <c r="A65" s="113" t="s">
        <v>55</v>
      </c>
      <c r="B65" s="114"/>
      <c r="D65" s="115"/>
      <c r="E65" s="114"/>
      <c r="H65" s="118">
        <v>-1217267</v>
      </c>
      <c r="I65" s="118">
        <v>-1182363</v>
      </c>
      <c r="J65" s="117">
        <f t="shared" si="10"/>
        <v>-0.028674070684574542</v>
      </c>
    </row>
    <row r="66" spans="1:10" ht="12" customHeight="1">
      <c r="A66" s="113" t="s">
        <v>56</v>
      </c>
      <c r="B66" s="114"/>
      <c r="D66" s="115"/>
      <c r="E66" s="114"/>
      <c r="H66" s="118">
        <v>-7891164</v>
      </c>
      <c r="I66" s="118">
        <v>-8942712</v>
      </c>
      <c r="J66" s="117">
        <f t="shared" si="10"/>
        <v>0.1332563865102791</v>
      </c>
    </row>
    <row r="67" spans="1:10" ht="12" customHeight="1">
      <c r="A67" s="113" t="s">
        <v>57</v>
      </c>
      <c r="B67" s="114"/>
      <c r="D67" s="115"/>
      <c r="E67" s="114"/>
      <c r="H67" s="118">
        <v>-189517655</v>
      </c>
      <c r="I67" s="118">
        <v>-192508895</v>
      </c>
      <c r="J67" s="117">
        <f t="shared" si="10"/>
        <v>0.01578343716842634</v>
      </c>
    </row>
    <row r="68" spans="1:10" ht="12" customHeight="1">
      <c r="A68" s="113" t="s">
        <v>58</v>
      </c>
      <c r="B68" s="114"/>
      <c r="D68" s="115"/>
      <c r="E68" s="114"/>
      <c r="H68" s="120">
        <v>0</v>
      </c>
      <c r="I68" s="120">
        <v>0</v>
      </c>
      <c r="J68" s="117">
        <v>0</v>
      </c>
    </row>
    <row r="69" spans="1:10" ht="12" customHeight="1">
      <c r="A69" s="113" t="s">
        <v>59</v>
      </c>
      <c r="B69" s="114"/>
      <c r="D69" s="115"/>
      <c r="E69" s="114"/>
      <c r="H69" s="120">
        <v>0</v>
      </c>
      <c r="I69" s="120">
        <v>0</v>
      </c>
      <c r="J69" s="117">
        <v>0</v>
      </c>
    </row>
    <row r="70" spans="1:10" ht="12" customHeight="1">
      <c r="A70" s="294" t="s">
        <v>60</v>
      </c>
      <c r="B70" s="299"/>
      <c r="C70" s="392"/>
      <c r="D70" s="300"/>
      <c r="E70" s="299"/>
      <c r="F70" s="392"/>
      <c r="G70" s="301"/>
      <c r="H70" s="283">
        <f>SUM(H58:H67)</f>
        <v>2580996080</v>
      </c>
      <c r="I70" s="304">
        <f>SUM(I58:I69)</f>
        <v>2545282620</v>
      </c>
      <c r="J70" s="303">
        <f>(I70-H70)/H70</f>
        <v>-0.013837084169457553</v>
      </c>
    </row>
    <row r="71" spans="1:9" ht="12" customHeight="1">
      <c r="A71" s="121" t="s">
        <v>61</v>
      </c>
      <c r="E71" s="108">
        <v>130066162</v>
      </c>
      <c r="F71" s="112">
        <v>141945823</v>
      </c>
      <c r="G71" s="123">
        <f>(F71-E71)/E71</f>
        <v>0.09133552353147777</v>
      </c>
      <c r="H71" s="124"/>
      <c r="I71" s="125"/>
    </row>
    <row r="72" spans="1:9" ht="12" customHeight="1">
      <c r="A72" s="121" t="s">
        <v>19</v>
      </c>
      <c r="E72" s="127">
        <v>1457102</v>
      </c>
      <c r="F72" s="112">
        <v>1608356</v>
      </c>
      <c r="G72" s="123">
        <f>(F72-E72)/E72</f>
        <v>0.10380467530756254</v>
      </c>
      <c r="H72" s="124"/>
      <c r="I72" s="125"/>
    </row>
    <row r="73" spans="1:9" ht="12" customHeight="1">
      <c r="A73" s="121" t="s">
        <v>185</v>
      </c>
      <c r="E73" s="139">
        <v>1.35131</v>
      </c>
      <c r="F73" s="138">
        <v>1.37152</v>
      </c>
      <c r="G73" s="123">
        <f>(F73-E73)/E73</f>
        <v>0.014955857649244113</v>
      </c>
      <c r="H73" s="307"/>
      <c r="I73" s="108"/>
    </row>
    <row r="74" spans="1:10" ht="12" customHeight="1">
      <c r="A74" s="121" t="s">
        <v>62</v>
      </c>
      <c r="B74" s="104"/>
      <c r="C74" s="108"/>
      <c r="D74" s="104"/>
      <c r="E74" s="104"/>
      <c r="F74" s="108"/>
      <c r="G74" s="104"/>
      <c r="H74" s="318">
        <f>(H70-E71)*E73/100+E72</f>
        <v>34576763.074925795</v>
      </c>
      <c r="I74" s="131">
        <f>(I70-F71)*F73/100+F72</f>
        <v>34570600.8382144</v>
      </c>
      <c r="J74" s="123">
        <f>(I74-H74)/H74</f>
        <v>-0.00017821901657030665</v>
      </c>
    </row>
    <row r="75" spans="1:10" ht="12" customHeight="1">
      <c r="A75" s="121" t="s">
        <v>18</v>
      </c>
      <c r="H75" s="118">
        <v>26110385</v>
      </c>
      <c r="I75" s="118">
        <v>19667474</v>
      </c>
      <c r="J75" s="123">
        <f>(I75-H75)/H75</f>
        <v>-0.24675664491350854</v>
      </c>
    </row>
    <row r="76" spans="1:10" ht="12" customHeight="1">
      <c r="A76" s="121" t="s">
        <v>17</v>
      </c>
      <c r="H76" s="118">
        <v>43919</v>
      </c>
      <c r="I76" s="118">
        <v>44422</v>
      </c>
      <c r="J76" s="123">
        <f>(I76-H76)/H76</f>
        <v>0.011452901933104123</v>
      </c>
    </row>
    <row r="77" spans="1:10" ht="12" customHeight="1">
      <c r="A77" s="121"/>
      <c r="H77" s="118"/>
      <c r="I77" s="118"/>
      <c r="J77" s="123"/>
    </row>
    <row r="78" spans="1:10" s="136" customFormat="1" ht="12" customHeight="1" thickBot="1">
      <c r="A78" s="132"/>
      <c r="C78" s="140"/>
      <c r="F78" s="140"/>
      <c r="H78" s="140"/>
      <c r="I78" s="140"/>
      <c r="J78" s="135"/>
    </row>
    <row r="79" spans="1:10" ht="12" customHeight="1">
      <c r="A79" s="290" t="s">
        <v>2</v>
      </c>
      <c r="B79" s="95" t="s">
        <v>32</v>
      </c>
      <c r="C79" s="372"/>
      <c r="D79" s="97"/>
      <c r="E79" s="95" t="s">
        <v>33</v>
      </c>
      <c r="F79" s="372"/>
      <c r="G79" s="97"/>
      <c r="H79" s="98" t="s">
        <v>34</v>
      </c>
      <c r="I79" s="372"/>
      <c r="J79" s="97"/>
    </row>
    <row r="80" spans="1:11" ht="12" customHeight="1">
      <c r="A80" s="9" t="s">
        <v>35</v>
      </c>
      <c r="B80" s="285" t="s">
        <v>200</v>
      </c>
      <c r="C80" s="308" t="s">
        <v>207</v>
      </c>
      <c r="D80" s="100" t="s">
        <v>67</v>
      </c>
      <c r="E80" s="285" t="str">
        <f>B80</f>
        <v>2018 Certified</v>
      </c>
      <c r="F80" s="308" t="s">
        <v>207</v>
      </c>
      <c r="G80" s="100" t="s">
        <v>67</v>
      </c>
      <c r="H80" s="101" t="str">
        <f>B80</f>
        <v>2018 Certified</v>
      </c>
      <c r="I80" s="384" t="s">
        <v>204</v>
      </c>
      <c r="J80" s="100" t="s">
        <v>67</v>
      </c>
      <c r="K80" s="287" t="s">
        <v>71</v>
      </c>
    </row>
    <row r="81" spans="2:10" ht="12" customHeight="1">
      <c r="B81" s="103"/>
      <c r="C81" s="108"/>
      <c r="D81" s="105"/>
      <c r="E81" s="104"/>
      <c r="F81" s="108"/>
      <c r="G81" s="105"/>
      <c r="H81" s="104"/>
      <c r="I81" s="108"/>
      <c r="J81" s="105"/>
    </row>
    <row r="82" spans="1:11" ht="12" customHeight="1">
      <c r="A82" s="9" t="s">
        <v>36</v>
      </c>
      <c r="B82" s="107">
        <v>0</v>
      </c>
      <c r="C82" s="108"/>
      <c r="D82" s="105"/>
      <c r="E82" s="109">
        <v>14456610</v>
      </c>
      <c r="F82" s="109">
        <v>14349404</v>
      </c>
      <c r="G82" s="110">
        <f>(F82-E82)/E82</f>
        <v>-0.007415708108609142</v>
      </c>
      <c r="H82" s="108">
        <f aca="true" t="shared" si="11" ref="H82:H92">B82+E82</f>
        <v>14456610</v>
      </c>
      <c r="I82" s="109">
        <f aca="true" t="shared" si="12" ref="I82:I92">C82+F82</f>
        <v>14349404</v>
      </c>
      <c r="J82" s="110">
        <f>(I82-H82)/H82</f>
        <v>-0.007415708108609142</v>
      </c>
      <c r="K82" s="291">
        <f>I82/I93</f>
        <v>0.04834943699273985</v>
      </c>
    </row>
    <row r="83" spans="1:11" ht="12" customHeight="1">
      <c r="A83" s="9" t="s">
        <v>37</v>
      </c>
      <c r="B83" s="107">
        <v>0</v>
      </c>
      <c r="C83" s="108"/>
      <c r="D83" s="105"/>
      <c r="E83" s="109">
        <v>0</v>
      </c>
      <c r="F83" s="109">
        <v>0</v>
      </c>
      <c r="G83" s="110">
        <v>0</v>
      </c>
      <c r="H83" s="108">
        <f t="shared" si="11"/>
        <v>0</v>
      </c>
      <c r="I83" s="109">
        <f t="shared" si="12"/>
        <v>0</v>
      </c>
      <c r="J83" s="110">
        <v>0</v>
      </c>
      <c r="K83" s="291">
        <f>I83/I93</f>
        <v>0</v>
      </c>
    </row>
    <row r="84" spans="1:11" ht="12" customHeight="1">
      <c r="A84" s="9" t="s">
        <v>38</v>
      </c>
      <c r="B84" s="107">
        <v>0</v>
      </c>
      <c r="C84" s="108"/>
      <c r="D84" s="105"/>
      <c r="E84" s="109">
        <v>2414480</v>
      </c>
      <c r="F84" s="109">
        <v>2393785</v>
      </c>
      <c r="G84" s="110">
        <f>(F84-E84)/E84</f>
        <v>-0.008571203737450715</v>
      </c>
      <c r="H84" s="108">
        <f t="shared" si="11"/>
        <v>2414480</v>
      </c>
      <c r="I84" s="109">
        <f t="shared" si="12"/>
        <v>2393785</v>
      </c>
      <c r="J84" s="110">
        <f aca="true" t="shared" si="13" ref="J84:J90">(I84-H84)/H84</f>
        <v>-0.008571203737450715</v>
      </c>
      <c r="K84" s="291">
        <f>I84/I93</f>
        <v>0.008065711790654564</v>
      </c>
    </row>
    <row r="85" spans="1:11" ht="12" customHeight="1">
      <c r="A85" s="9" t="s">
        <v>39</v>
      </c>
      <c r="B85" s="107">
        <v>0</v>
      </c>
      <c r="C85" s="108"/>
      <c r="D85" s="105"/>
      <c r="E85" s="109">
        <v>230792860</v>
      </c>
      <c r="F85" s="109">
        <v>230557166</v>
      </c>
      <c r="G85" s="110">
        <f>(F85-E85)/E85</f>
        <v>-0.0010212360988983802</v>
      </c>
      <c r="H85" s="108">
        <f t="shared" si="11"/>
        <v>230792860</v>
      </c>
      <c r="I85" s="109">
        <f t="shared" si="12"/>
        <v>230557166</v>
      </c>
      <c r="J85" s="110">
        <f t="shared" si="13"/>
        <v>-0.0010212360988983802</v>
      </c>
      <c r="K85" s="291">
        <f>I85/I93</f>
        <v>0.7768482350027682</v>
      </c>
    </row>
    <row r="86" spans="1:11" ht="12" customHeight="1">
      <c r="A86" s="9" t="s">
        <v>40</v>
      </c>
      <c r="B86" s="107">
        <v>0</v>
      </c>
      <c r="C86" s="108"/>
      <c r="D86" s="105"/>
      <c r="E86" s="109">
        <v>3231800</v>
      </c>
      <c r="F86" s="109">
        <v>3421200</v>
      </c>
      <c r="G86" s="110">
        <f>(F86-E86)/E86</f>
        <v>0.05860511170245684</v>
      </c>
      <c r="H86" s="108">
        <f t="shared" si="11"/>
        <v>3231800</v>
      </c>
      <c r="I86" s="109">
        <f t="shared" si="12"/>
        <v>3421200</v>
      </c>
      <c r="J86" s="110">
        <f t="shared" si="13"/>
        <v>0.05860511170245684</v>
      </c>
      <c r="K86" s="291">
        <f>I86/I93</f>
        <v>0.011527523640672572</v>
      </c>
    </row>
    <row r="87" spans="1:11" ht="12" customHeight="1">
      <c r="A87" s="9" t="s">
        <v>41</v>
      </c>
      <c r="B87" s="152">
        <v>10083080</v>
      </c>
      <c r="C87" s="109">
        <v>11501164</v>
      </c>
      <c r="D87" s="110">
        <f>(C87-B87)/B87</f>
        <v>0.14063996318585195</v>
      </c>
      <c r="E87" s="109">
        <v>0</v>
      </c>
      <c r="F87" s="109"/>
      <c r="G87" s="110">
        <v>0</v>
      </c>
      <c r="H87" s="108">
        <f t="shared" si="11"/>
        <v>10083080</v>
      </c>
      <c r="I87" s="109">
        <f t="shared" si="12"/>
        <v>11501164</v>
      </c>
      <c r="J87" s="110">
        <f t="shared" si="13"/>
        <v>0.14063996318585195</v>
      </c>
      <c r="K87" s="291">
        <f>I87/I93</f>
        <v>0.03875246694295929</v>
      </c>
    </row>
    <row r="88" spans="1:11" ht="12" customHeight="1">
      <c r="A88" s="9" t="s">
        <v>42</v>
      </c>
      <c r="B88" s="152">
        <v>19063630</v>
      </c>
      <c r="C88" s="112">
        <v>16228930</v>
      </c>
      <c r="D88" s="110">
        <f>(C88-B88)/B88</f>
        <v>-0.1486967592216173</v>
      </c>
      <c r="E88" s="109">
        <v>53520</v>
      </c>
      <c r="F88" s="109">
        <v>61711</v>
      </c>
      <c r="G88" s="110">
        <f aca="true" t="shared" si="14" ref="G88:G93">(F88-E88)/E88</f>
        <v>0.15304559043348281</v>
      </c>
      <c r="H88" s="108">
        <f t="shared" si="11"/>
        <v>19117150</v>
      </c>
      <c r="I88" s="109">
        <f t="shared" si="12"/>
        <v>16290641</v>
      </c>
      <c r="J88" s="110">
        <f t="shared" si="13"/>
        <v>-0.14785200722911104</v>
      </c>
      <c r="K88" s="291">
        <f>I88/I93</f>
        <v>0.05489031604384715</v>
      </c>
    </row>
    <row r="89" spans="1:11" ht="12" customHeight="1">
      <c r="A89" s="9" t="s">
        <v>43</v>
      </c>
      <c r="B89" s="152">
        <v>1730270</v>
      </c>
      <c r="C89" s="109">
        <v>863543</v>
      </c>
      <c r="D89" s="110">
        <f>(C89-B89)/B89</f>
        <v>-0.5009200876163836</v>
      </c>
      <c r="E89" s="109">
        <v>3075450</v>
      </c>
      <c r="F89" s="109">
        <v>2971081</v>
      </c>
      <c r="G89" s="110">
        <f t="shared" si="14"/>
        <v>-0.033936171942317385</v>
      </c>
      <c r="H89" s="108">
        <f t="shared" si="11"/>
        <v>4805720</v>
      </c>
      <c r="I89" s="109">
        <f t="shared" si="12"/>
        <v>3834624</v>
      </c>
      <c r="J89" s="110">
        <f t="shared" si="13"/>
        <v>-0.202070865551884</v>
      </c>
      <c r="K89" s="291">
        <f>I89/I93</f>
        <v>0.012920530460975804</v>
      </c>
    </row>
    <row r="90" spans="1:11" ht="12" customHeight="1">
      <c r="A90" s="9" t="s">
        <v>44</v>
      </c>
      <c r="B90" s="107">
        <v>0</v>
      </c>
      <c r="C90" s="109"/>
      <c r="D90" s="110"/>
      <c r="E90" s="109">
        <v>4706200</v>
      </c>
      <c r="F90" s="109">
        <v>4761439</v>
      </c>
      <c r="G90" s="110">
        <f t="shared" si="14"/>
        <v>0.011737495219072712</v>
      </c>
      <c r="H90" s="108">
        <f t="shared" si="11"/>
        <v>4706200</v>
      </c>
      <c r="I90" s="109">
        <f t="shared" si="12"/>
        <v>4761439</v>
      </c>
      <c r="J90" s="110">
        <f t="shared" si="13"/>
        <v>0.011737495219072712</v>
      </c>
      <c r="K90" s="291">
        <f>I90/I93</f>
        <v>0.01604337677894317</v>
      </c>
    </row>
    <row r="91" spans="1:11" ht="12" customHeight="1">
      <c r="A91" s="9" t="s">
        <v>45</v>
      </c>
      <c r="B91" s="107">
        <v>0</v>
      </c>
      <c r="C91" s="108"/>
      <c r="D91" s="110"/>
      <c r="E91" s="109">
        <v>55760</v>
      </c>
      <c r="F91" s="109">
        <v>54087</v>
      </c>
      <c r="G91" s="110">
        <f t="shared" si="14"/>
        <v>-0.030003586800573887</v>
      </c>
      <c r="H91" s="108">
        <f t="shared" si="11"/>
        <v>55760</v>
      </c>
      <c r="I91" s="109">
        <f t="shared" si="12"/>
        <v>54087</v>
      </c>
      <c r="J91" s="110">
        <v>0</v>
      </c>
      <c r="K91" s="291">
        <f>I91/I93</f>
        <v>0.00018224283033820222</v>
      </c>
    </row>
    <row r="92" spans="1:11" ht="12" customHeight="1">
      <c r="A92" s="9" t="s">
        <v>46</v>
      </c>
      <c r="B92" s="107">
        <v>0</v>
      </c>
      <c r="C92" s="108"/>
      <c r="D92" s="110"/>
      <c r="E92" s="109">
        <v>10270770</v>
      </c>
      <c r="F92" s="109">
        <v>9621828</v>
      </c>
      <c r="G92" s="110">
        <f t="shared" si="14"/>
        <v>-0.0631833835243122</v>
      </c>
      <c r="H92" s="308">
        <f t="shared" si="11"/>
        <v>10270770</v>
      </c>
      <c r="I92" s="309">
        <f t="shared" si="12"/>
        <v>9621828</v>
      </c>
      <c r="J92" s="110">
        <f>(I92-H92)/H92</f>
        <v>-0.0631833835243122</v>
      </c>
      <c r="K92" s="293">
        <f>I92/I93</f>
        <v>0.032420159516101166</v>
      </c>
    </row>
    <row r="93" spans="1:11" ht="12" customHeight="1" thickBot="1">
      <c r="A93" s="294" t="s">
        <v>47</v>
      </c>
      <c r="B93" s="295">
        <f>SUM(B82:B92)</f>
        <v>30876980</v>
      </c>
      <c r="C93" s="296">
        <f>SUM(C82:C92)</f>
        <v>28593637</v>
      </c>
      <c r="D93" s="297">
        <f>(C93-B93)/B93</f>
        <v>-0.07394968678931683</v>
      </c>
      <c r="E93" s="295">
        <f>SUM(E82:E92)</f>
        <v>269057450</v>
      </c>
      <c r="F93" s="296">
        <f>SUM(F82:F92)</f>
        <v>268191701</v>
      </c>
      <c r="G93" s="297">
        <f t="shared" si="14"/>
        <v>-0.0032177105670183077</v>
      </c>
      <c r="H93" s="310">
        <f>SUM(H82:H92)</f>
        <v>299934430</v>
      </c>
      <c r="I93" s="311">
        <f>SUM(I82:I92)</f>
        <v>296785338</v>
      </c>
      <c r="J93" s="297">
        <f>(I93-H93)/H93</f>
        <v>-0.010499268123369498</v>
      </c>
      <c r="K93" s="303">
        <f>SUM(K82:K92)</f>
        <v>1</v>
      </c>
    </row>
    <row r="94" spans="1:10" ht="12" customHeight="1">
      <c r="A94" s="113" t="str">
        <f>A17</f>
        <v>Less Minimum Value Loss</v>
      </c>
      <c r="B94" s="114"/>
      <c r="D94" s="115"/>
      <c r="E94" s="114"/>
      <c r="H94" s="108">
        <v>0</v>
      </c>
      <c r="I94" s="109">
        <v>0</v>
      </c>
      <c r="J94" s="117">
        <v>0</v>
      </c>
    </row>
    <row r="95" spans="1:10" ht="12" customHeight="1">
      <c r="A95" s="113" t="s">
        <v>174</v>
      </c>
      <c r="B95" s="114"/>
      <c r="D95" s="115"/>
      <c r="E95" s="114"/>
      <c r="H95" s="109">
        <v>-862100</v>
      </c>
      <c r="I95" s="109">
        <v>-583282</v>
      </c>
      <c r="J95" s="117">
        <f>(I95-H95)/H95</f>
        <v>-0.3234172369794687</v>
      </c>
    </row>
    <row r="96" spans="1:10" ht="12" customHeight="1">
      <c r="A96" s="113" t="s">
        <v>49</v>
      </c>
      <c r="B96" s="114"/>
      <c r="D96" s="115"/>
      <c r="E96" s="114"/>
      <c r="H96" s="309">
        <v>-84212730</v>
      </c>
      <c r="I96" s="309">
        <v>-85862830</v>
      </c>
      <c r="J96" s="126">
        <f>(I96-H96)/H96</f>
        <v>0.019594424738397627</v>
      </c>
    </row>
    <row r="97" spans="1:10" ht="12" customHeight="1">
      <c r="A97" s="294" t="s">
        <v>50</v>
      </c>
      <c r="B97" s="299"/>
      <c r="C97" s="392"/>
      <c r="D97" s="300"/>
      <c r="E97" s="299"/>
      <c r="F97" s="392"/>
      <c r="G97" s="301"/>
      <c r="H97" s="283">
        <f>SUM(H93:H96)</f>
        <v>214859600</v>
      </c>
      <c r="I97" s="283">
        <f>SUM(I93:I96)</f>
        <v>210339226</v>
      </c>
      <c r="J97" s="303">
        <f>(I97-H97)/H97</f>
        <v>-0.021038734131497965</v>
      </c>
    </row>
    <row r="98" spans="1:10" ht="12" customHeight="1">
      <c r="A98" s="113" t="s">
        <v>127</v>
      </c>
      <c r="B98" s="114"/>
      <c r="D98" s="115"/>
      <c r="E98" s="114"/>
      <c r="H98" s="120">
        <v>-187692</v>
      </c>
      <c r="I98" s="120">
        <v>-189662</v>
      </c>
      <c r="J98" s="117">
        <f>(I98-H98)/H98</f>
        <v>0.0104959188457686</v>
      </c>
    </row>
    <row r="99" spans="1:10" ht="12" customHeight="1">
      <c r="A99" s="113" t="s">
        <v>78</v>
      </c>
      <c r="B99" s="114"/>
      <c r="D99" s="115"/>
      <c r="E99" s="114"/>
      <c r="H99" s="119">
        <v>0</v>
      </c>
      <c r="I99" s="119">
        <v>0</v>
      </c>
      <c r="J99" s="117">
        <v>0</v>
      </c>
    </row>
    <row r="100" spans="1:10" ht="12" customHeight="1">
      <c r="A100" s="113" t="s">
        <v>128</v>
      </c>
      <c r="B100" s="114"/>
      <c r="D100" s="115"/>
      <c r="E100" s="114"/>
      <c r="H100" s="119">
        <v>0</v>
      </c>
      <c r="I100" s="119">
        <v>0</v>
      </c>
      <c r="J100" s="117">
        <v>0</v>
      </c>
    </row>
    <row r="101" spans="1:10" ht="12" customHeight="1">
      <c r="A101" s="113" t="s">
        <v>157</v>
      </c>
      <c r="B101" s="114"/>
      <c r="D101" s="115"/>
      <c r="E101" s="114"/>
      <c r="H101" s="118">
        <v>-10262550</v>
      </c>
      <c r="I101" s="118">
        <v>-9907200</v>
      </c>
      <c r="J101" s="117">
        <f aca="true" t="shared" si="15" ref="J101:J106">(I101-H101)/H101</f>
        <v>-0.034625897072365054</v>
      </c>
    </row>
    <row r="102" spans="1:10" ht="12" customHeight="1">
      <c r="A102" s="113" t="s">
        <v>53</v>
      </c>
      <c r="B102" s="114"/>
      <c r="D102" s="115"/>
      <c r="E102" s="114"/>
      <c r="H102" s="118">
        <v>-19870890</v>
      </c>
      <c r="I102" s="118">
        <v>-20150112</v>
      </c>
      <c r="J102" s="117">
        <f t="shared" si="15"/>
        <v>0.014051811468937728</v>
      </c>
    </row>
    <row r="103" spans="1:10" ht="12" customHeight="1">
      <c r="A103" s="113" t="s">
        <v>54</v>
      </c>
      <c r="B103" s="114"/>
      <c r="D103" s="115"/>
      <c r="E103" s="114"/>
      <c r="H103" s="118">
        <v>-2258089</v>
      </c>
      <c r="I103" s="118">
        <v>-2373963</v>
      </c>
      <c r="J103" s="117">
        <f t="shared" si="15"/>
        <v>0.051315072169431764</v>
      </c>
    </row>
    <row r="104" spans="1:10" ht="12" customHeight="1">
      <c r="A104" s="113" t="s">
        <v>55</v>
      </c>
      <c r="B104" s="114"/>
      <c r="D104" s="115"/>
      <c r="E104" s="114"/>
      <c r="H104" s="118">
        <v>-392480</v>
      </c>
      <c r="I104" s="118">
        <v>-379992</v>
      </c>
      <c r="J104" s="117">
        <f t="shared" si="15"/>
        <v>-0.031818181818181815</v>
      </c>
    </row>
    <row r="105" spans="1:10" ht="12" customHeight="1">
      <c r="A105" s="113" t="s">
        <v>56</v>
      </c>
      <c r="B105" s="114"/>
      <c r="D105" s="115"/>
      <c r="E105" s="114"/>
      <c r="H105" s="118">
        <v>-1142448</v>
      </c>
      <c r="I105" s="118">
        <v>-1329074</v>
      </c>
      <c r="J105" s="117">
        <f t="shared" si="15"/>
        <v>0.16335623153088805</v>
      </c>
    </row>
    <row r="106" spans="1:10" ht="12" customHeight="1">
      <c r="A106" s="113" t="s">
        <v>57</v>
      </c>
      <c r="B106" s="114"/>
      <c r="D106" s="115"/>
      <c r="E106" s="114"/>
      <c r="H106" s="118">
        <v>-21277649</v>
      </c>
      <c r="I106" s="118">
        <v>-21775835</v>
      </c>
      <c r="J106" s="117">
        <f t="shared" si="15"/>
        <v>0.02341358295740286</v>
      </c>
    </row>
    <row r="107" spans="1:10" ht="12" customHeight="1">
      <c r="A107" s="113" t="s">
        <v>58</v>
      </c>
      <c r="B107" s="114"/>
      <c r="D107" s="115"/>
      <c r="E107" s="114"/>
      <c r="H107" s="119">
        <v>0</v>
      </c>
      <c r="I107" s="119">
        <v>0</v>
      </c>
      <c r="J107" s="117">
        <v>0</v>
      </c>
    </row>
    <row r="108" spans="1:10" ht="12" customHeight="1">
      <c r="A108" s="113" t="s">
        <v>59</v>
      </c>
      <c r="B108" s="114"/>
      <c r="D108" s="115"/>
      <c r="E108" s="114"/>
      <c r="H108" s="119">
        <v>0</v>
      </c>
      <c r="I108" s="119">
        <v>0</v>
      </c>
      <c r="J108" s="117">
        <v>0</v>
      </c>
    </row>
    <row r="109" spans="1:10" ht="12" customHeight="1">
      <c r="A109" s="294" t="s">
        <v>60</v>
      </c>
      <c r="B109" s="299"/>
      <c r="C109" s="392"/>
      <c r="D109" s="300"/>
      <c r="E109" s="299"/>
      <c r="F109" s="392"/>
      <c r="G109" s="301"/>
      <c r="H109" s="283">
        <f>SUM(H97:H108)</f>
        <v>159467802</v>
      </c>
      <c r="I109" s="283">
        <f>SUM(I97:I108)</f>
        <v>154233388</v>
      </c>
      <c r="J109" s="303">
        <f>(I109-H109)/H109</f>
        <v>-0.032824268813838674</v>
      </c>
    </row>
    <row r="110" spans="1:9" ht="12" customHeight="1">
      <c r="A110" s="121" t="s">
        <v>61</v>
      </c>
      <c r="B110" s="114"/>
      <c r="D110" s="115"/>
      <c r="E110" s="118">
        <v>16536502</v>
      </c>
      <c r="F110" s="112">
        <v>17977804</v>
      </c>
      <c r="G110" s="123">
        <f>(F110-E110)/E110</f>
        <v>0.08715881992455236</v>
      </c>
      <c r="H110" s="124"/>
      <c r="I110" s="125"/>
    </row>
    <row r="111" spans="1:11" ht="12" customHeight="1">
      <c r="A111" s="121" t="s">
        <v>19</v>
      </c>
      <c r="E111" s="137">
        <v>161533.14</v>
      </c>
      <c r="F111" s="393">
        <v>175278.66</v>
      </c>
      <c r="G111" s="123">
        <f>(F111-E111)/E111</f>
        <v>0.08509411752907167</v>
      </c>
      <c r="H111" s="124"/>
      <c r="I111" s="125"/>
      <c r="K111" s="130"/>
    </row>
    <row r="112" spans="1:9" ht="12" customHeight="1">
      <c r="A112" s="121" t="s">
        <v>185</v>
      </c>
      <c r="E112" s="141">
        <v>1.25</v>
      </c>
      <c r="F112" s="138">
        <v>1.25144</v>
      </c>
      <c r="G112" s="123">
        <f>(F112-E112)/E112</f>
        <v>0.0011520000000000863</v>
      </c>
      <c r="H112" s="112"/>
      <c r="I112" s="108"/>
    </row>
    <row r="113" spans="1:10" ht="12" customHeight="1">
      <c r="A113" s="121" t="s">
        <v>62</v>
      </c>
      <c r="B113" s="104"/>
      <c r="C113" s="108"/>
      <c r="D113" s="104"/>
      <c r="E113" s="104"/>
      <c r="F113" s="108"/>
      <c r="G113" s="104"/>
      <c r="H113" s="318">
        <v>1880431</v>
      </c>
      <c r="I113" s="131">
        <f>(I109-F110)*F112/100+F111</f>
        <v>1880435.5404096001</v>
      </c>
      <c r="J113" s="123">
        <f>(I113-H113)/H113</f>
        <v>2.4145579391795555E-06</v>
      </c>
    </row>
    <row r="114" spans="1:10" ht="12" customHeight="1">
      <c r="A114" s="121" t="s">
        <v>18</v>
      </c>
      <c r="H114" s="118">
        <v>2305033</v>
      </c>
      <c r="I114" s="118">
        <v>1825768</v>
      </c>
      <c r="J114" s="123">
        <f>(I114-H114)/H114</f>
        <v>-0.2079211013464883</v>
      </c>
    </row>
    <row r="115" spans="1:10" ht="12" customHeight="1">
      <c r="A115" s="121" t="s">
        <v>17</v>
      </c>
      <c r="H115" s="118">
        <v>8166</v>
      </c>
      <c r="I115" s="118">
        <v>8188</v>
      </c>
      <c r="J115" s="123">
        <f>(I115-H115)/H115</f>
        <v>0.0026940974773450896</v>
      </c>
    </row>
    <row r="116" spans="1:10" ht="11.25" customHeight="1">
      <c r="A116" s="121"/>
      <c r="H116" s="118"/>
      <c r="I116" s="118"/>
      <c r="J116" s="123"/>
    </row>
    <row r="117" spans="1:10" s="136" customFormat="1" ht="12" customHeight="1" thickBot="1">
      <c r="A117" s="132"/>
      <c r="C117" s="140"/>
      <c r="F117" s="140"/>
      <c r="H117" s="140"/>
      <c r="I117" s="140"/>
      <c r="J117" s="135"/>
    </row>
    <row r="118" spans="1:10" ht="12" customHeight="1">
      <c r="A118" s="290" t="s">
        <v>3</v>
      </c>
      <c r="B118" s="95" t="s">
        <v>32</v>
      </c>
      <c r="C118" s="372"/>
      <c r="D118" s="97"/>
      <c r="E118" s="95" t="s">
        <v>33</v>
      </c>
      <c r="F118" s="372"/>
      <c r="G118" s="96"/>
      <c r="H118" s="95" t="s">
        <v>34</v>
      </c>
      <c r="I118" s="372"/>
      <c r="J118" s="97"/>
    </row>
    <row r="119" spans="1:11" ht="12" customHeight="1">
      <c r="A119" s="9" t="s">
        <v>35</v>
      </c>
      <c r="B119" s="285" t="s">
        <v>200</v>
      </c>
      <c r="C119" s="308" t="s">
        <v>207</v>
      </c>
      <c r="D119" s="100" t="s">
        <v>67</v>
      </c>
      <c r="E119" s="285" t="str">
        <f>B119</f>
        <v>2018 Certified</v>
      </c>
      <c r="F119" s="308" t="s">
        <v>207</v>
      </c>
      <c r="G119" s="100" t="s">
        <v>67</v>
      </c>
      <c r="H119" s="101" t="str">
        <f>B119</f>
        <v>2018 Certified</v>
      </c>
      <c r="I119" s="384" t="s">
        <v>204</v>
      </c>
      <c r="J119" s="100" t="s">
        <v>67</v>
      </c>
      <c r="K119" s="287" t="s">
        <v>71</v>
      </c>
    </row>
    <row r="120" spans="2:10" ht="12" customHeight="1">
      <c r="B120" s="103"/>
      <c r="C120" s="108"/>
      <c r="D120" s="105"/>
      <c r="E120" s="104"/>
      <c r="F120" s="108"/>
      <c r="G120" s="104"/>
      <c r="H120" s="103"/>
      <c r="I120" s="108"/>
      <c r="J120" s="105"/>
    </row>
    <row r="121" spans="1:11" ht="12" customHeight="1">
      <c r="A121" s="9" t="s">
        <v>36</v>
      </c>
      <c r="B121" s="107">
        <v>0</v>
      </c>
      <c r="C121" s="108"/>
      <c r="D121" s="105"/>
      <c r="E121" s="109">
        <v>58091860</v>
      </c>
      <c r="F121" s="109">
        <v>56565579</v>
      </c>
      <c r="G121" s="126">
        <f>(F121-E121)/E121</f>
        <v>-0.026273577743938653</v>
      </c>
      <c r="H121" s="107">
        <f aca="true" t="shared" si="16" ref="H121:H131">B121+E121</f>
        <v>58091860</v>
      </c>
      <c r="I121" s="108">
        <f aca="true" t="shared" si="17" ref="I121:I131">C121+F121</f>
        <v>56565579</v>
      </c>
      <c r="J121" s="110">
        <f aca="true" t="shared" si="18" ref="J121:J129">(I121-H121)/H121</f>
        <v>-0.026273577743938653</v>
      </c>
      <c r="K121" s="291">
        <f>I121/I132</f>
        <v>0.15952052262477437</v>
      </c>
    </row>
    <row r="122" spans="1:11" ht="12" customHeight="1">
      <c r="A122" s="9" t="s">
        <v>37</v>
      </c>
      <c r="B122" s="107">
        <v>0</v>
      </c>
      <c r="C122" s="108"/>
      <c r="D122" s="105"/>
      <c r="E122" s="109">
        <v>420340</v>
      </c>
      <c r="F122" s="109">
        <v>411105</v>
      </c>
      <c r="G122" s="126">
        <f>(F122-E122)/E122</f>
        <v>-0.021970309749250606</v>
      </c>
      <c r="H122" s="107">
        <f t="shared" si="16"/>
        <v>420340</v>
      </c>
      <c r="I122" s="108">
        <f t="shared" si="17"/>
        <v>411105</v>
      </c>
      <c r="J122" s="110">
        <f t="shared" si="18"/>
        <v>-0.021970309749250606</v>
      </c>
      <c r="K122" s="291">
        <f>I122/I132</f>
        <v>0.001159356725645076</v>
      </c>
    </row>
    <row r="123" spans="1:11" ht="12" customHeight="1">
      <c r="A123" s="9" t="s">
        <v>38</v>
      </c>
      <c r="B123" s="107">
        <v>0</v>
      </c>
      <c r="C123" s="108"/>
      <c r="D123" s="105"/>
      <c r="E123" s="109">
        <v>3646030</v>
      </c>
      <c r="F123" s="109">
        <v>3616694</v>
      </c>
      <c r="G123" s="126">
        <f>(F123-E123)/E123</f>
        <v>-0.008046011689426582</v>
      </c>
      <c r="H123" s="107">
        <f t="shared" si="16"/>
        <v>3646030</v>
      </c>
      <c r="I123" s="108">
        <f t="shared" si="17"/>
        <v>3616694</v>
      </c>
      <c r="J123" s="110">
        <f t="shared" si="18"/>
        <v>-0.008046011689426582</v>
      </c>
      <c r="K123" s="291">
        <f>I123/I132</f>
        <v>0.010199434483891445</v>
      </c>
    </row>
    <row r="124" spans="1:11" ht="12" customHeight="1">
      <c r="A124" s="9" t="s">
        <v>39</v>
      </c>
      <c r="B124" s="107">
        <v>0</v>
      </c>
      <c r="C124" s="108"/>
      <c r="D124" s="105"/>
      <c r="E124" s="109">
        <v>214977730</v>
      </c>
      <c r="F124" s="109">
        <v>212428545</v>
      </c>
      <c r="G124" s="126">
        <f>(F124-E124)/E124</f>
        <v>-0.011857902676709815</v>
      </c>
      <c r="H124" s="107">
        <f t="shared" si="16"/>
        <v>214977730</v>
      </c>
      <c r="I124" s="108">
        <f t="shared" si="17"/>
        <v>212428545</v>
      </c>
      <c r="J124" s="110">
        <f t="shared" si="18"/>
        <v>-0.011857902676709815</v>
      </c>
      <c r="K124" s="291">
        <f>I124/I132</f>
        <v>0.5990694892174692</v>
      </c>
    </row>
    <row r="125" spans="1:11" ht="12" customHeight="1">
      <c r="A125" s="9" t="s">
        <v>40</v>
      </c>
      <c r="B125" s="107">
        <v>367230</v>
      </c>
      <c r="C125" s="108">
        <v>344205</v>
      </c>
      <c r="D125" s="110">
        <f>(C125-B125)/B125</f>
        <v>-0.06269912588840781</v>
      </c>
      <c r="E125" s="109">
        <v>5641480</v>
      </c>
      <c r="F125" s="109">
        <v>6167018</v>
      </c>
      <c r="G125" s="126">
        <f>(F125-E125)/E125</f>
        <v>0.09315605124896303</v>
      </c>
      <c r="H125" s="107">
        <f t="shared" si="16"/>
        <v>6008710</v>
      </c>
      <c r="I125" s="108">
        <f t="shared" si="17"/>
        <v>6511223</v>
      </c>
      <c r="J125" s="110">
        <f t="shared" si="18"/>
        <v>0.08363076267618175</v>
      </c>
      <c r="K125" s="291">
        <f>I125/I132</f>
        <v>0.018362292303000228</v>
      </c>
    </row>
    <row r="126" spans="1:11" ht="12" customHeight="1">
      <c r="A126" s="9" t="s">
        <v>41</v>
      </c>
      <c r="B126" s="152">
        <v>24141960</v>
      </c>
      <c r="C126" s="109">
        <v>21749088</v>
      </c>
      <c r="D126" s="110">
        <f>(C126-B126)/B126</f>
        <v>-0.09911672457414394</v>
      </c>
      <c r="E126" s="109">
        <v>0</v>
      </c>
      <c r="F126" s="109">
        <v>0</v>
      </c>
      <c r="G126" s="126">
        <v>0</v>
      </c>
      <c r="H126" s="107">
        <f t="shared" si="16"/>
        <v>24141960</v>
      </c>
      <c r="I126" s="108">
        <f t="shared" si="17"/>
        <v>21749088</v>
      </c>
      <c r="J126" s="110">
        <f t="shared" si="18"/>
        <v>-0.09911672457414394</v>
      </c>
      <c r="K126" s="291">
        <f>I126/I132</f>
        <v>0.06133457741804798</v>
      </c>
    </row>
    <row r="127" spans="1:11" ht="12" customHeight="1">
      <c r="A127" s="9" t="s">
        <v>42</v>
      </c>
      <c r="B127" s="152">
        <v>29699220</v>
      </c>
      <c r="C127" s="109">
        <v>25458392</v>
      </c>
      <c r="D127" s="110">
        <f>(C127-B127)/B127</f>
        <v>-0.14279257165676404</v>
      </c>
      <c r="E127" s="109">
        <v>135170</v>
      </c>
      <c r="F127" s="109">
        <v>135810</v>
      </c>
      <c r="G127" s="126">
        <f>(F127-E127)/E127</f>
        <v>0.004734778427165791</v>
      </c>
      <c r="H127" s="107">
        <f t="shared" si="16"/>
        <v>29834390</v>
      </c>
      <c r="I127" s="108">
        <f t="shared" si="17"/>
        <v>25594202</v>
      </c>
      <c r="J127" s="110">
        <f t="shared" si="18"/>
        <v>-0.1421241728086279</v>
      </c>
      <c r="K127" s="291">
        <f>I127/I132</f>
        <v>0.07217817887454216</v>
      </c>
    </row>
    <row r="128" spans="1:11" ht="12" customHeight="1">
      <c r="A128" s="9" t="s">
        <v>43</v>
      </c>
      <c r="B128" s="152">
        <v>2390720</v>
      </c>
      <c r="C128" s="109">
        <v>1010536</v>
      </c>
      <c r="D128" s="110">
        <f>(C128-B128)/B128</f>
        <v>-0.5773089278543703</v>
      </c>
      <c r="E128" s="109">
        <v>1565810</v>
      </c>
      <c r="F128" s="109">
        <v>2120216</v>
      </c>
      <c r="G128" s="126">
        <f>(F128-E128)/E128</f>
        <v>0.3540697785810539</v>
      </c>
      <c r="H128" s="107">
        <f t="shared" si="16"/>
        <v>3956530</v>
      </c>
      <c r="I128" s="108">
        <f t="shared" si="17"/>
        <v>3130752</v>
      </c>
      <c r="J128" s="110">
        <f t="shared" si="18"/>
        <v>-0.20871268510538274</v>
      </c>
      <c r="K128" s="291">
        <f>I128/I132</f>
        <v>0.008829030022808706</v>
      </c>
    </row>
    <row r="129" spans="1:11" ht="12" customHeight="1">
      <c r="A129" s="9" t="s">
        <v>44</v>
      </c>
      <c r="B129" s="107">
        <v>0</v>
      </c>
      <c r="C129" s="108"/>
      <c r="D129" s="110"/>
      <c r="E129" s="109">
        <v>3391320</v>
      </c>
      <c r="F129" s="109">
        <v>3264089</v>
      </c>
      <c r="G129" s="126">
        <f>(F129-E129)/E129</f>
        <v>-0.03751666017951712</v>
      </c>
      <c r="H129" s="107">
        <f t="shared" si="16"/>
        <v>3391320</v>
      </c>
      <c r="I129" s="108">
        <f t="shared" si="17"/>
        <v>3264089</v>
      </c>
      <c r="J129" s="110">
        <f t="shared" si="18"/>
        <v>-0.03751666017951712</v>
      </c>
      <c r="K129" s="291">
        <f>I129/I132</f>
        <v>0.009205053539251797</v>
      </c>
    </row>
    <row r="130" spans="1:11" ht="12" customHeight="1">
      <c r="A130" s="9" t="s">
        <v>45</v>
      </c>
      <c r="B130" s="107">
        <v>0</v>
      </c>
      <c r="C130" s="108"/>
      <c r="D130" s="110"/>
      <c r="E130" s="109">
        <v>0</v>
      </c>
      <c r="F130" s="109">
        <v>0</v>
      </c>
      <c r="G130" s="126">
        <v>0</v>
      </c>
      <c r="H130" s="107">
        <f t="shared" si="16"/>
        <v>0</v>
      </c>
      <c r="I130" s="108">
        <f t="shared" si="17"/>
        <v>0</v>
      </c>
      <c r="J130" s="110">
        <v>0</v>
      </c>
      <c r="K130" s="291">
        <f>I130/I132</f>
        <v>0</v>
      </c>
    </row>
    <row r="131" spans="1:11" ht="12" customHeight="1">
      <c r="A131" s="9" t="s">
        <v>46</v>
      </c>
      <c r="B131" s="107">
        <v>0</v>
      </c>
      <c r="C131" s="108"/>
      <c r="D131" s="110"/>
      <c r="E131" s="309">
        <v>21733150</v>
      </c>
      <c r="F131" s="309">
        <v>21326226</v>
      </c>
      <c r="G131" s="292">
        <f>(F131-E131)/E131</f>
        <v>-0.018723654877456787</v>
      </c>
      <c r="H131" s="107">
        <f t="shared" si="16"/>
        <v>21733150</v>
      </c>
      <c r="I131" s="108">
        <f t="shared" si="17"/>
        <v>21326226</v>
      </c>
      <c r="J131" s="110">
        <f>(I131-H131)/H131</f>
        <v>-0.018723654877456787</v>
      </c>
      <c r="K131" s="293">
        <f>I131/I132</f>
        <v>0.06014206479056904</v>
      </c>
    </row>
    <row r="132" spans="1:11" ht="12" customHeight="1" thickBot="1">
      <c r="A132" s="294" t="s">
        <v>47</v>
      </c>
      <c r="B132" s="295">
        <f>SUM(B121:B131)</f>
        <v>56599130</v>
      </c>
      <c r="C132" s="296">
        <f>SUM(C121:C131)</f>
        <v>48562221</v>
      </c>
      <c r="D132" s="297">
        <f>(C132-B132)/B132</f>
        <v>-0.1419970412972779</v>
      </c>
      <c r="E132" s="312">
        <f>SUM(E121:E131)</f>
        <v>309602890</v>
      </c>
      <c r="F132" s="308">
        <f>SUM(F121:F131)</f>
        <v>306035282</v>
      </c>
      <c r="G132" s="313">
        <f>(F132-E132)/E132</f>
        <v>-0.011523174089234115</v>
      </c>
      <c r="H132" s="314">
        <f>SUM(H121:H131)</f>
        <v>366202020</v>
      </c>
      <c r="I132" s="315">
        <f>SUM(I121:I131)</f>
        <v>354597503</v>
      </c>
      <c r="J132" s="297">
        <f>(I132-H132)/H132</f>
        <v>-0.031688839400722035</v>
      </c>
      <c r="K132" s="117">
        <f>SUM(K121:K131)</f>
        <v>0.9999999999999999</v>
      </c>
    </row>
    <row r="133" spans="1:10" ht="12" customHeight="1">
      <c r="A133" s="113" t="str">
        <f>A17</f>
        <v>Less Minimum Value Loss</v>
      </c>
      <c r="H133" s="120">
        <v>0</v>
      </c>
      <c r="I133" s="120">
        <v>0</v>
      </c>
      <c r="J133" s="126">
        <v>0</v>
      </c>
    </row>
    <row r="134" spans="1:10" ht="12" customHeight="1">
      <c r="A134" s="113" t="s">
        <v>174</v>
      </c>
      <c r="H134" s="120">
        <v>-597250</v>
      </c>
      <c r="I134" s="120">
        <v>-438520</v>
      </c>
      <c r="J134" s="126">
        <f>(I134-H134)/H134</f>
        <v>-0.26576810380912513</v>
      </c>
    </row>
    <row r="135" spans="1:10" ht="12" customHeight="1">
      <c r="A135" s="113" t="s">
        <v>49</v>
      </c>
      <c r="H135" s="118">
        <v>-97355940</v>
      </c>
      <c r="I135" s="118">
        <v>-97845250</v>
      </c>
      <c r="J135" s="126">
        <f>(I135-H135)/H135</f>
        <v>0.005025990196386579</v>
      </c>
    </row>
    <row r="136" spans="1:10" ht="12" customHeight="1">
      <c r="A136" s="294" t="s">
        <v>50</v>
      </c>
      <c r="B136" s="301"/>
      <c r="C136" s="392"/>
      <c r="D136" s="301"/>
      <c r="E136" s="301"/>
      <c r="F136" s="392"/>
      <c r="G136" s="301"/>
      <c r="H136" s="283">
        <f>SUM(H132:H135)</f>
        <v>268248830</v>
      </c>
      <c r="I136" s="304">
        <f>SUM(I132:I135)</f>
        <v>256313733</v>
      </c>
      <c r="J136" s="303">
        <f>(I136-H136)/H136</f>
        <v>-0.044492633947368944</v>
      </c>
    </row>
    <row r="137" spans="1:10" ht="12" customHeight="1">
      <c r="A137" s="113" t="s">
        <v>127</v>
      </c>
      <c r="H137" s="120">
        <v>-194510</v>
      </c>
      <c r="I137" s="120">
        <v>-210230</v>
      </c>
      <c r="J137" s="126">
        <f>(I137-H137)/H137</f>
        <v>0.08081846691686803</v>
      </c>
    </row>
    <row r="138" spans="1:10" ht="12" customHeight="1">
      <c r="A138" s="113" t="s">
        <v>78</v>
      </c>
      <c r="H138" s="120">
        <v>0</v>
      </c>
      <c r="I138" s="120">
        <v>0</v>
      </c>
      <c r="J138" s="126">
        <v>0</v>
      </c>
    </row>
    <row r="139" spans="1:10" ht="12" customHeight="1">
      <c r="A139" s="113" t="s">
        <v>128</v>
      </c>
      <c r="H139" s="120">
        <v>0</v>
      </c>
      <c r="I139" s="120">
        <v>0</v>
      </c>
      <c r="J139" s="126">
        <v>0</v>
      </c>
    </row>
    <row r="140" spans="1:10" ht="12" customHeight="1">
      <c r="A140" s="113" t="s">
        <v>157</v>
      </c>
      <c r="H140" s="118">
        <v>-21740020</v>
      </c>
      <c r="I140" s="118">
        <v>-21993940</v>
      </c>
      <c r="J140" s="126">
        <f aca="true" t="shared" si="19" ref="J140:J145">(I140-H140)/H140</f>
        <v>0.01167984206086287</v>
      </c>
    </row>
    <row r="141" spans="1:10" ht="12" customHeight="1">
      <c r="A141" s="113" t="s">
        <v>53</v>
      </c>
      <c r="H141" s="118">
        <v>-16359577</v>
      </c>
      <c r="I141" s="118">
        <v>-16094354</v>
      </c>
      <c r="J141" s="126">
        <f t="shared" si="19"/>
        <v>-0.016212093992405793</v>
      </c>
    </row>
    <row r="142" spans="1:10" ht="12" customHeight="1">
      <c r="A142" s="113" t="s">
        <v>54</v>
      </c>
      <c r="H142" s="118">
        <v>-2523029</v>
      </c>
      <c r="I142" s="118">
        <v>-2623619</v>
      </c>
      <c r="J142" s="126">
        <f t="shared" si="19"/>
        <v>0.03986874506793223</v>
      </c>
    </row>
    <row r="143" spans="1:10" ht="12" customHeight="1">
      <c r="A143" s="113" t="s">
        <v>55</v>
      </c>
      <c r="H143" s="118">
        <v>-418840</v>
      </c>
      <c r="I143" s="118">
        <v>-395488</v>
      </c>
      <c r="J143" s="126">
        <f t="shared" si="19"/>
        <v>-0.05575398720275045</v>
      </c>
    </row>
    <row r="144" spans="1:10" ht="12" customHeight="1">
      <c r="A144" s="113" t="s">
        <v>56</v>
      </c>
      <c r="H144" s="118">
        <v>-1297209</v>
      </c>
      <c r="I144" s="118">
        <v>-1046740</v>
      </c>
      <c r="J144" s="126">
        <f t="shared" si="19"/>
        <v>-0.19308299587807362</v>
      </c>
    </row>
    <row r="145" spans="1:10" ht="12" customHeight="1">
      <c r="A145" s="113" t="s">
        <v>57</v>
      </c>
      <c r="H145" s="118">
        <v>-14680187</v>
      </c>
      <c r="I145" s="118">
        <v>-14654010</v>
      </c>
      <c r="J145" s="126">
        <f t="shared" si="19"/>
        <v>-0.0017831516723867346</v>
      </c>
    </row>
    <row r="146" spans="1:10" ht="12" customHeight="1">
      <c r="A146" s="113" t="s">
        <v>58</v>
      </c>
      <c r="H146" s="120">
        <v>0</v>
      </c>
      <c r="I146" s="120">
        <v>0</v>
      </c>
      <c r="J146" s="126">
        <v>0</v>
      </c>
    </row>
    <row r="147" spans="1:10" ht="12" customHeight="1">
      <c r="A147" s="113" t="s">
        <v>59</v>
      </c>
      <c r="H147" s="120">
        <v>0</v>
      </c>
      <c r="I147" s="120">
        <v>0</v>
      </c>
      <c r="J147" s="126">
        <v>0</v>
      </c>
    </row>
    <row r="148" spans="1:10" ht="12" customHeight="1">
      <c r="A148" s="294" t="s">
        <v>60</v>
      </c>
      <c r="B148" s="301"/>
      <c r="C148" s="392"/>
      <c r="D148" s="301"/>
      <c r="E148" s="301"/>
      <c r="F148" s="392"/>
      <c r="G148" s="301"/>
      <c r="H148" s="283">
        <f>SUM(H136:H147)</f>
        <v>211035458</v>
      </c>
      <c r="I148" s="304">
        <f>SUM(I136:I147)</f>
        <v>199295352</v>
      </c>
      <c r="J148" s="303">
        <f>(I148-H148)/H148</f>
        <v>-0.055630964157691455</v>
      </c>
    </row>
    <row r="149" spans="1:10" ht="12" customHeight="1">
      <c r="A149" s="121" t="s">
        <v>61</v>
      </c>
      <c r="E149" s="118">
        <v>17359675</v>
      </c>
      <c r="F149" s="112">
        <v>19470120</v>
      </c>
      <c r="G149" s="123">
        <f>('2019 Certified Values'!E146-E149)/E149</f>
        <v>0</v>
      </c>
      <c r="H149" s="124"/>
      <c r="I149" s="125"/>
      <c r="J149" s="115"/>
    </row>
    <row r="150" spans="1:11" ht="12" customHeight="1">
      <c r="A150" s="121" t="s">
        <v>19</v>
      </c>
      <c r="E150" s="137">
        <v>136864</v>
      </c>
      <c r="F150" s="393">
        <v>157089.91</v>
      </c>
      <c r="G150" s="123">
        <f>('2019 Certified Values'!E147-E150)/E150</f>
        <v>-1.022913257057881E-06</v>
      </c>
      <c r="H150" s="124"/>
      <c r="I150" s="125"/>
      <c r="J150" s="115"/>
      <c r="K150" s="130"/>
    </row>
    <row r="151" spans="1:10" ht="12" customHeight="1">
      <c r="A151" s="121" t="s">
        <v>185</v>
      </c>
      <c r="E151" s="141">
        <v>0.99435</v>
      </c>
      <c r="F151" s="138">
        <v>1.05968</v>
      </c>
      <c r="G151" s="123">
        <f>('2019 Certified Values'!E148-E151)/E151</f>
        <v>0.045909388042439866</v>
      </c>
      <c r="H151" s="119"/>
      <c r="I151" s="125"/>
      <c r="J151" s="115"/>
    </row>
    <row r="152" spans="1:10" ht="12" customHeight="1">
      <c r="A152" s="121" t="s">
        <v>62</v>
      </c>
      <c r="B152" s="104"/>
      <c r="C152" s="108"/>
      <c r="D152" s="104"/>
      <c r="E152" s="104"/>
      <c r="F152" s="108"/>
      <c r="G152" s="104"/>
      <c r="H152" s="125">
        <v>2062679</v>
      </c>
      <c r="I152" s="131">
        <f>(I148-F149)*F151/100+F150</f>
        <v>2062661.9284575998</v>
      </c>
      <c r="J152" s="123">
        <f>(I152-H152)/H152</f>
        <v>-8.276393176140473E-06</v>
      </c>
    </row>
    <row r="153" spans="1:10" ht="12" customHeight="1">
      <c r="A153" s="121" t="s">
        <v>18</v>
      </c>
      <c r="H153" s="118">
        <v>1466794</v>
      </c>
      <c r="I153" s="120">
        <v>597814</v>
      </c>
      <c r="J153" s="123">
        <f>(I153-H153)/H153</f>
        <v>-0.5924349295129377</v>
      </c>
    </row>
    <row r="154" spans="1:10" ht="12" customHeight="1">
      <c r="A154" s="121" t="s">
        <v>17</v>
      </c>
      <c r="H154" s="118">
        <v>12570</v>
      </c>
      <c r="I154" s="120">
        <v>12791</v>
      </c>
      <c r="J154" s="123">
        <f>(I154-H154)/H154</f>
        <v>0.01758154335719968</v>
      </c>
    </row>
    <row r="155" spans="1:10" ht="12" customHeight="1">
      <c r="A155" s="121"/>
      <c r="H155" s="120"/>
      <c r="I155" s="120"/>
      <c r="J155" s="123"/>
    </row>
    <row r="156" spans="1:10" s="136" customFormat="1" ht="12" customHeight="1" thickBot="1">
      <c r="A156" s="132"/>
      <c r="C156" s="140"/>
      <c r="F156" s="140"/>
      <c r="H156" s="142"/>
      <c r="I156" s="142"/>
      <c r="J156" s="135"/>
    </row>
    <row r="157" spans="1:10" ht="12" customHeight="1">
      <c r="A157" s="290" t="s">
        <v>4</v>
      </c>
      <c r="B157" s="95" t="s">
        <v>32</v>
      </c>
      <c r="C157" s="372"/>
      <c r="D157" s="97"/>
      <c r="E157" s="95" t="s">
        <v>33</v>
      </c>
      <c r="F157" s="372"/>
      <c r="G157" s="97"/>
      <c r="H157" s="95" t="s">
        <v>34</v>
      </c>
      <c r="I157" s="372"/>
      <c r="J157" s="97"/>
    </row>
    <row r="158" spans="1:11" ht="12" customHeight="1">
      <c r="A158" s="9" t="s">
        <v>35</v>
      </c>
      <c r="B158" s="285" t="s">
        <v>200</v>
      </c>
      <c r="C158" s="308" t="s">
        <v>207</v>
      </c>
      <c r="D158" s="100" t="s">
        <v>67</v>
      </c>
      <c r="E158" s="285" t="str">
        <f>B158</f>
        <v>2018 Certified</v>
      </c>
      <c r="F158" s="308" t="s">
        <v>207</v>
      </c>
      <c r="G158" s="100" t="s">
        <v>67</v>
      </c>
      <c r="H158" s="101" t="str">
        <f>B158</f>
        <v>2018 Certified</v>
      </c>
      <c r="I158" s="384" t="s">
        <v>204</v>
      </c>
      <c r="J158" s="100" t="s">
        <v>67</v>
      </c>
      <c r="K158" s="287" t="s">
        <v>71</v>
      </c>
    </row>
    <row r="159" spans="2:10" ht="12" customHeight="1">
      <c r="B159" s="103"/>
      <c r="C159" s="108"/>
      <c r="D159" s="105"/>
      <c r="E159" s="103"/>
      <c r="F159" s="108"/>
      <c r="G159" s="105"/>
      <c r="H159" s="103"/>
      <c r="I159" s="108"/>
      <c r="J159" s="105"/>
    </row>
    <row r="160" spans="1:11" ht="12" customHeight="1">
      <c r="A160" s="9" t="s">
        <v>36</v>
      </c>
      <c r="B160" s="107">
        <v>0</v>
      </c>
      <c r="C160" s="108">
        <v>0</v>
      </c>
      <c r="D160" s="105"/>
      <c r="E160" s="114">
        <v>760254540</v>
      </c>
      <c r="F160" s="112">
        <v>762483031</v>
      </c>
      <c r="G160" s="110">
        <f>(F160-E160)/E160</f>
        <v>0.002931243264920194</v>
      </c>
      <c r="H160" s="108">
        <f>C160+E160</f>
        <v>760254540</v>
      </c>
      <c r="I160" s="112">
        <f aca="true" t="shared" si="20" ref="I160:I170">C160+F160</f>
        <v>762483031</v>
      </c>
      <c r="J160" s="110">
        <f aca="true" t="shared" si="21" ref="J160:J171">(I160-H160)/H160</f>
        <v>0.002931243264920194</v>
      </c>
      <c r="K160" s="291">
        <f>I160/I171</f>
        <v>0.21047649472372765</v>
      </c>
    </row>
    <row r="161" spans="1:11" ht="12" customHeight="1">
      <c r="A161" s="9" t="s">
        <v>37</v>
      </c>
      <c r="B161" s="107">
        <v>0</v>
      </c>
      <c r="C161" s="108">
        <v>0</v>
      </c>
      <c r="D161" s="105"/>
      <c r="E161" s="114">
        <v>45917810</v>
      </c>
      <c r="F161" s="112">
        <v>63429105</v>
      </c>
      <c r="G161" s="110">
        <f>(F161-E161)/E161</f>
        <v>0.38136171999492136</v>
      </c>
      <c r="H161" s="108">
        <f>C161+E161</f>
        <v>45917810</v>
      </c>
      <c r="I161" s="112">
        <f t="shared" si="20"/>
        <v>63429105</v>
      </c>
      <c r="J161" s="110">
        <f t="shared" si="21"/>
        <v>0.38136171999492136</v>
      </c>
      <c r="K161" s="291">
        <f>I161/I171</f>
        <v>0.0175090266157848</v>
      </c>
    </row>
    <row r="162" spans="1:11" ht="12" customHeight="1">
      <c r="A162" s="9" t="s">
        <v>38</v>
      </c>
      <c r="B162" s="107">
        <v>0</v>
      </c>
      <c r="C162" s="108">
        <v>0</v>
      </c>
      <c r="D162" s="105"/>
      <c r="E162" s="114">
        <v>24575860</v>
      </c>
      <c r="F162" s="112">
        <v>23757696</v>
      </c>
      <c r="G162" s="110">
        <f>(F162-E162)/E162</f>
        <v>-0.03329136803350931</v>
      </c>
      <c r="H162" s="108">
        <f>C162+E162</f>
        <v>24575860</v>
      </c>
      <c r="I162" s="112">
        <f t="shared" si="20"/>
        <v>23757696</v>
      </c>
      <c r="J162" s="110">
        <f t="shared" si="21"/>
        <v>-0.03329136803350931</v>
      </c>
      <c r="K162" s="291">
        <f>I162/I171</f>
        <v>0.006558095555561191</v>
      </c>
    </row>
    <row r="163" spans="1:11" ht="12" customHeight="1">
      <c r="A163" s="9" t="s">
        <v>39</v>
      </c>
      <c r="B163" s="107">
        <v>0</v>
      </c>
      <c r="C163" s="108">
        <v>0</v>
      </c>
      <c r="D163" s="105"/>
      <c r="E163" s="114">
        <v>700742660</v>
      </c>
      <c r="F163" s="112">
        <v>696212893</v>
      </c>
      <c r="G163" s="110">
        <f>(F163-E163)/E163</f>
        <v>-0.006464237527653875</v>
      </c>
      <c r="H163" s="108">
        <f>C163+E163</f>
        <v>700742660</v>
      </c>
      <c r="I163" s="112">
        <f t="shared" si="20"/>
        <v>696212893</v>
      </c>
      <c r="J163" s="110">
        <f t="shared" si="21"/>
        <v>-0.006464237527653875</v>
      </c>
      <c r="K163" s="291">
        <f>I163/I171</f>
        <v>0.19218322682922193</v>
      </c>
    </row>
    <row r="164" spans="1:11" ht="12" customHeight="1">
      <c r="A164" s="9" t="s">
        <v>40</v>
      </c>
      <c r="B164" s="152">
        <v>306027940</v>
      </c>
      <c r="C164" s="108">
        <v>299919625</v>
      </c>
      <c r="D164" s="110">
        <f>(C164-B164)/B164</f>
        <v>-0.019959991234787255</v>
      </c>
      <c r="E164" s="114">
        <v>255640678</v>
      </c>
      <c r="F164" s="112">
        <v>279107187</v>
      </c>
      <c r="G164" s="110">
        <f>(F164-E164)/E164</f>
        <v>0.09179489423823231</v>
      </c>
      <c r="H164" s="108">
        <f>C164+F164</f>
        <v>579026812</v>
      </c>
      <c r="I164" s="112">
        <f t="shared" si="20"/>
        <v>579026812</v>
      </c>
      <c r="J164" s="110">
        <f t="shared" si="21"/>
        <v>0</v>
      </c>
      <c r="K164" s="291">
        <f>I164/I171</f>
        <v>0.1598350766980083</v>
      </c>
    </row>
    <row r="165" spans="1:11" ht="12" customHeight="1">
      <c r="A165" s="9" t="s">
        <v>41</v>
      </c>
      <c r="B165" s="152">
        <v>218725060</v>
      </c>
      <c r="C165" s="109">
        <v>218497913</v>
      </c>
      <c r="D165" s="110">
        <f>(C165-B165)/B165</f>
        <v>-0.001038504687117242</v>
      </c>
      <c r="E165" s="114">
        <v>0</v>
      </c>
      <c r="F165" s="112">
        <v>0</v>
      </c>
      <c r="G165" s="110">
        <v>0</v>
      </c>
      <c r="H165" s="108">
        <f>B165+E165</f>
        <v>218725060</v>
      </c>
      <c r="I165" s="112">
        <f t="shared" si="20"/>
        <v>218497913</v>
      </c>
      <c r="J165" s="110">
        <f t="shared" si="21"/>
        <v>-0.001038504687117242</v>
      </c>
      <c r="K165" s="291">
        <f>I165/I171</f>
        <v>0.060314358435460055</v>
      </c>
    </row>
    <row r="166" spans="1:11" ht="12" customHeight="1">
      <c r="A166" s="9" t="s">
        <v>42</v>
      </c>
      <c r="B166" s="152">
        <v>179743310</v>
      </c>
      <c r="C166" s="109">
        <v>178332047</v>
      </c>
      <c r="D166" s="110">
        <f>(C166-B166)/B166</f>
        <v>-0.00785154674185092</v>
      </c>
      <c r="E166" s="114">
        <v>8816820</v>
      </c>
      <c r="F166" s="112">
        <v>8558698</v>
      </c>
      <c r="G166" s="110">
        <f aca="true" t="shared" si="22" ref="G166:G171">(F166-E166)/E166</f>
        <v>-0.02927608820413709</v>
      </c>
      <c r="H166" s="108">
        <f>B166+E166</f>
        <v>188560130</v>
      </c>
      <c r="I166" s="112">
        <f t="shared" si="20"/>
        <v>186890745</v>
      </c>
      <c r="J166" s="110">
        <f t="shared" si="21"/>
        <v>-0.008853329704429033</v>
      </c>
      <c r="K166" s="291">
        <f>I166/I171</f>
        <v>0.05158948764055318</v>
      </c>
    </row>
    <row r="167" spans="1:11" ht="12" customHeight="1">
      <c r="A167" s="9" t="s">
        <v>43</v>
      </c>
      <c r="B167" s="152">
        <v>559089440</v>
      </c>
      <c r="C167" s="109">
        <v>554688420</v>
      </c>
      <c r="D167" s="110">
        <f>(C167-B167)/B167</f>
        <v>-0.007871763773610176</v>
      </c>
      <c r="E167" s="114">
        <v>142023610</v>
      </c>
      <c r="F167" s="112">
        <v>149659787</v>
      </c>
      <c r="G167" s="110">
        <f t="shared" si="22"/>
        <v>0.05376695466338308</v>
      </c>
      <c r="H167" s="108">
        <f>B167+E167</f>
        <v>701113050</v>
      </c>
      <c r="I167" s="112">
        <f t="shared" si="20"/>
        <v>704348207</v>
      </c>
      <c r="J167" s="110">
        <f t="shared" si="21"/>
        <v>0.004614315765481758</v>
      </c>
      <c r="K167" s="291">
        <f>I167/I171</f>
        <v>0.1944289061487357</v>
      </c>
    </row>
    <row r="168" spans="1:11" ht="12" customHeight="1">
      <c r="A168" s="9" t="s">
        <v>44</v>
      </c>
      <c r="B168" s="107">
        <v>0</v>
      </c>
      <c r="C168" s="108"/>
      <c r="D168" s="110"/>
      <c r="E168" s="114">
        <v>17592480</v>
      </c>
      <c r="F168" s="112">
        <v>17505454</v>
      </c>
      <c r="G168" s="110">
        <f t="shared" si="22"/>
        <v>-0.004946772711976935</v>
      </c>
      <c r="H168" s="108">
        <f>C168+E168</f>
        <v>17592480</v>
      </c>
      <c r="I168" s="112">
        <f t="shared" si="20"/>
        <v>17505454</v>
      </c>
      <c r="J168" s="110">
        <f t="shared" si="21"/>
        <v>-0.004946772711976935</v>
      </c>
      <c r="K168" s="291">
        <f>I168/I171</f>
        <v>0.004832221107445809</v>
      </c>
    </row>
    <row r="169" spans="1:11" ht="12" customHeight="1">
      <c r="A169" s="9" t="s">
        <v>45</v>
      </c>
      <c r="B169" s="107">
        <v>0</v>
      </c>
      <c r="C169" s="108"/>
      <c r="D169" s="110"/>
      <c r="E169" s="114">
        <v>11275070</v>
      </c>
      <c r="F169" s="112">
        <v>12406174</v>
      </c>
      <c r="G169" s="110">
        <f t="shared" si="22"/>
        <v>0.10031902240961697</v>
      </c>
      <c r="H169" s="108">
        <f>C169+E169</f>
        <v>11275070</v>
      </c>
      <c r="I169" s="112">
        <f t="shared" si="20"/>
        <v>12406174</v>
      </c>
      <c r="J169" s="110">
        <f t="shared" si="21"/>
        <v>0.10031902240961697</v>
      </c>
      <c r="K169" s="291">
        <f>I169/I171</f>
        <v>0.0034246113163043587</v>
      </c>
    </row>
    <row r="170" spans="1:11" ht="12" customHeight="1">
      <c r="A170" s="9" t="s">
        <v>46</v>
      </c>
      <c r="B170" s="107">
        <v>0</v>
      </c>
      <c r="C170" s="108"/>
      <c r="D170" s="110"/>
      <c r="E170" s="114">
        <v>237263920</v>
      </c>
      <c r="F170" s="112">
        <v>358093668</v>
      </c>
      <c r="G170" s="110">
        <f t="shared" si="22"/>
        <v>0.5092630518791058</v>
      </c>
      <c r="H170" s="108">
        <f>C170+E170</f>
        <v>237263920</v>
      </c>
      <c r="I170" s="112">
        <f t="shared" si="20"/>
        <v>358093668</v>
      </c>
      <c r="J170" s="110">
        <f t="shared" si="21"/>
        <v>0.5092630518791058</v>
      </c>
      <c r="K170" s="293">
        <f>I170/I171</f>
        <v>0.09884849492919703</v>
      </c>
    </row>
    <row r="171" spans="1:11" ht="12" customHeight="1" thickBot="1">
      <c r="A171" s="294" t="s">
        <v>47</v>
      </c>
      <c r="B171" s="295">
        <f>SUM(B160:B170)</f>
        <v>1263585750</v>
      </c>
      <c r="C171" s="296">
        <f>SUM(C160:C170)</f>
        <v>1251438005</v>
      </c>
      <c r="D171" s="297">
        <f>(C171-B171)/B171</f>
        <v>-0.009613708448358174</v>
      </c>
      <c r="E171" s="295">
        <f>SUM(E160:E170)</f>
        <v>2204103448</v>
      </c>
      <c r="F171" s="296">
        <f>SUM(F160:F170)</f>
        <v>2371213693</v>
      </c>
      <c r="G171" s="297">
        <f t="shared" si="22"/>
        <v>0.07581778666134549</v>
      </c>
      <c r="H171" s="314">
        <f>SUM(B171+E171)</f>
        <v>3467689198</v>
      </c>
      <c r="I171" s="315">
        <f>SUM(I159:I170)</f>
        <v>3622651698</v>
      </c>
      <c r="J171" s="297">
        <f t="shared" si="21"/>
        <v>0.04468754007405712</v>
      </c>
      <c r="K171" s="110">
        <f>SUM(K160:K170)</f>
        <v>1</v>
      </c>
    </row>
    <row r="172" spans="1:10" ht="12" customHeight="1">
      <c r="A172" s="113" t="str">
        <f>A17</f>
        <v>Less Minimum Value Loss</v>
      </c>
      <c r="H172" s="112">
        <v>0</v>
      </c>
      <c r="I172" s="118">
        <v>0</v>
      </c>
      <c r="J172" s="117">
        <v>0</v>
      </c>
    </row>
    <row r="173" spans="1:10" ht="12" customHeight="1">
      <c r="A173" s="113" t="s">
        <v>174</v>
      </c>
      <c r="H173" s="130">
        <v>-3216321</v>
      </c>
      <c r="I173" s="112">
        <v>-2551327</v>
      </c>
      <c r="J173" s="117">
        <f>(I173-H173)/H173</f>
        <v>-0.2067561042570067</v>
      </c>
    </row>
    <row r="174" spans="1:10" ht="12" customHeight="1">
      <c r="A174" s="113" t="s">
        <v>49</v>
      </c>
      <c r="H174" s="130">
        <v>-218519650</v>
      </c>
      <c r="I174" s="112">
        <v>-219881250</v>
      </c>
      <c r="J174" s="117">
        <f>(I174-H174)/H174</f>
        <v>0.006231018583454623</v>
      </c>
    </row>
    <row r="175" spans="1:10" ht="12" customHeight="1">
      <c r="A175" s="294" t="s">
        <v>50</v>
      </c>
      <c r="B175" s="301"/>
      <c r="C175" s="392"/>
      <c r="D175" s="301"/>
      <c r="E175" s="301"/>
      <c r="F175" s="392"/>
      <c r="G175" s="301"/>
      <c r="H175" s="283">
        <f>SUM(H171:H174)</f>
        <v>3245953227</v>
      </c>
      <c r="I175" s="304">
        <f>SUM(I171:I174)</f>
        <v>3400219121</v>
      </c>
      <c r="J175" s="303">
        <f>(I175-H175)/H175</f>
        <v>0.04752560595045198</v>
      </c>
    </row>
    <row r="176" spans="1:10" ht="12" customHeight="1">
      <c r="A176" s="113" t="s">
        <v>127</v>
      </c>
      <c r="H176" s="130">
        <v>-1284264</v>
      </c>
      <c r="I176" s="112">
        <v>-1780085</v>
      </c>
      <c r="J176" s="117">
        <f>(I176-H176)/H176</f>
        <v>0.38607404708066256</v>
      </c>
    </row>
    <row r="177" spans="1:10" ht="12" customHeight="1">
      <c r="A177" s="113" t="s">
        <v>78</v>
      </c>
      <c r="H177" s="130">
        <v>-164314464</v>
      </c>
      <c r="I177" s="112">
        <v>-52064615</v>
      </c>
      <c r="J177" s="117">
        <f>(I177-H177)/H177</f>
        <v>-0.6831404020524937</v>
      </c>
    </row>
    <row r="178" spans="1:10" ht="12" customHeight="1">
      <c r="A178" s="113" t="s">
        <v>128</v>
      </c>
      <c r="H178" s="130">
        <v>0</v>
      </c>
      <c r="I178" s="112">
        <v>0</v>
      </c>
      <c r="J178" s="117">
        <v>0</v>
      </c>
    </row>
    <row r="179" spans="1:10" ht="12" customHeight="1">
      <c r="A179" s="113" t="s">
        <v>157</v>
      </c>
      <c r="H179" s="130">
        <v>-253235238</v>
      </c>
      <c r="I179" s="112">
        <v>-392847713</v>
      </c>
      <c r="J179" s="117">
        <f aca="true" t="shared" si="23" ref="J179:J184">(I179-H179)/H179</f>
        <v>0.5513153544610565</v>
      </c>
    </row>
    <row r="180" spans="1:10" ht="12" customHeight="1">
      <c r="A180" s="113" t="s">
        <v>53</v>
      </c>
      <c r="H180" s="130">
        <v>-166711509</v>
      </c>
      <c r="I180" s="112">
        <v>-165146721</v>
      </c>
      <c r="J180" s="117">
        <f t="shared" si="23"/>
        <v>-0.00938620260464441</v>
      </c>
    </row>
    <row r="181" spans="1:10" ht="12" customHeight="1">
      <c r="A181" s="113" t="s">
        <v>54</v>
      </c>
      <c r="H181" s="130">
        <v>-24248416</v>
      </c>
      <c r="I181" s="112">
        <v>-24176562</v>
      </c>
      <c r="J181" s="117">
        <f t="shared" si="23"/>
        <v>-0.0029632451043400112</v>
      </c>
    </row>
    <row r="182" spans="1:10" ht="12" customHeight="1">
      <c r="A182" s="113" t="s">
        <v>55</v>
      </c>
      <c r="H182" s="130">
        <v>-2384458</v>
      </c>
      <c r="I182" s="112">
        <v>-2414962</v>
      </c>
      <c r="J182" s="117">
        <f t="shared" si="23"/>
        <v>0.01279284432772563</v>
      </c>
    </row>
    <row r="183" spans="1:10" ht="12" customHeight="1">
      <c r="A183" s="113" t="s">
        <v>56</v>
      </c>
      <c r="H183" s="130">
        <v>-12336799</v>
      </c>
      <c r="I183" s="112">
        <v>-12973921</v>
      </c>
      <c r="J183" s="117">
        <f t="shared" si="23"/>
        <v>0.05164402856851279</v>
      </c>
    </row>
    <row r="184" spans="1:10" ht="12" customHeight="1">
      <c r="A184" s="113" t="s">
        <v>57</v>
      </c>
      <c r="H184" s="130">
        <v>-160090770</v>
      </c>
      <c r="I184" s="112">
        <v>-161142947</v>
      </c>
      <c r="J184" s="117">
        <f t="shared" si="23"/>
        <v>0.006572377657999896</v>
      </c>
    </row>
    <row r="185" spans="1:10" ht="12" customHeight="1">
      <c r="A185" s="113" t="s">
        <v>58</v>
      </c>
      <c r="H185" s="120">
        <v>0</v>
      </c>
      <c r="I185" s="120">
        <v>0</v>
      </c>
      <c r="J185" s="117">
        <v>0</v>
      </c>
    </row>
    <row r="186" spans="1:10" ht="12" customHeight="1">
      <c r="A186" s="113" t="s">
        <v>59</v>
      </c>
      <c r="H186" s="120">
        <v>0</v>
      </c>
      <c r="I186" s="120">
        <v>0</v>
      </c>
      <c r="J186" s="117">
        <v>0</v>
      </c>
    </row>
    <row r="187" spans="1:10" ht="12" customHeight="1">
      <c r="A187" s="294" t="s">
        <v>60</v>
      </c>
      <c r="B187" s="301"/>
      <c r="C187" s="392"/>
      <c r="D187" s="301"/>
      <c r="E187" s="301"/>
      <c r="F187" s="392"/>
      <c r="G187" s="301"/>
      <c r="H187" s="283">
        <f>SUM(H175:H186)</f>
        <v>2461347309</v>
      </c>
      <c r="I187" s="304">
        <f>SUM(I175:I186)</f>
        <v>2587671595</v>
      </c>
      <c r="J187" s="303">
        <f>(I187-H187)/H187</f>
        <v>0.05132322672956025</v>
      </c>
    </row>
    <row r="188" spans="1:9" ht="12" customHeight="1">
      <c r="A188" s="121" t="s">
        <v>61</v>
      </c>
      <c r="E188" s="114">
        <v>166948871</v>
      </c>
      <c r="F188" s="112">
        <v>170173566</v>
      </c>
      <c r="G188" s="123">
        <f>(F188-E188)/E188</f>
        <v>0.019315464553216415</v>
      </c>
      <c r="H188" s="124"/>
      <c r="I188" s="125"/>
    </row>
    <row r="189" spans="1:11" ht="12" customHeight="1">
      <c r="A189" s="121" t="s">
        <v>19</v>
      </c>
      <c r="E189" s="236">
        <v>1423202.19</v>
      </c>
      <c r="F189" s="393">
        <v>1484550.91</v>
      </c>
      <c r="G189" s="123">
        <f>(F189-E189)/E189</f>
        <v>0.04310611691793418</v>
      </c>
      <c r="H189" s="124"/>
      <c r="I189" s="125"/>
      <c r="K189" s="130"/>
    </row>
    <row r="190" spans="1:9" ht="12" customHeight="1">
      <c r="A190" s="121" t="s">
        <v>185</v>
      </c>
      <c r="E190" s="9">
        <v>1.28709</v>
      </c>
      <c r="F190" s="138">
        <v>1.21901</v>
      </c>
      <c r="G190" s="123">
        <f>(F190-E190)/E190</f>
        <v>-0.052894513981151386</v>
      </c>
      <c r="H190" s="112"/>
      <c r="I190" s="108"/>
    </row>
    <row r="191" spans="1:10" ht="12" customHeight="1">
      <c r="A191" s="121" t="s">
        <v>62</v>
      </c>
      <c r="B191" s="104"/>
      <c r="C191" s="108"/>
      <c r="D191" s="104"/>
      <c r="E191" s="104"/>
      <c r="F191" s="108"/>
      <c r="G191" s="104"/>
      <c r="H191" s="318">
        <v>30954175</v>
      </c>
      <c r="I191" s="131">
        <f>(I187-F188)*F190/100+F189</f>
        <v>30954093.6333129</v>
      </c>
      <c r="J191" s="123">
        <f>(I191-H191)/H191</f>
        <v>-2.6286175322191806E-06</v>
      </c>
    </row>
    <row r="192" spans="1:10" ht="12" customHeight="1">
      <c r="A192" s="121" t="s">
        <v>18</v>
      </c>
      <c r="H192" s="118">
        <v>12249506</v>
      </c>
      <c r="I192" s="118">
        <v>14104111</v>
      </c>
      <c r="J192" s="123">
        <f>(I192-H192)/H192</f>
        <v>0.1514024320654237</v>
      </c>
    </row>
    <row r="193" spans="1:10" ht="12" customHeight="1">
      <c r="A193" s="121" t="s">
        <v>17</v>
      </c>
      <c r="H193" s="118">
        <v>104706</v>
      </c>
      <c r="I193" s="118">
        <v>106091</v>
      </c>
      <c r="J193" s="123">
        <f>(I193-H193)/H193</f>
        <v>0.013227513227513227</v>
      </c>
    </row>
    <row r="194" spans="1:10" ht="12" customHeight="1">
      <c r="A194" s="121"/>
      <c r="H194" s="118"/>
      <c r="I194" s="118"/>
      <c r="J194" s="123"/>
    </row>
    <row r="195" spans="1:10" s="136" customFormat="1" ht="12" customHeight="1" thickBot="1">
      <c r="A195" s="132"/>
      <c r="C195" s="140"/>
      <c r="F195" s="140"/>
      <c r="H195" s="140"/>
      <c r="I195" s="140"/>
      <c r="J195" s="135"/>
    </row>
    <row r="196" spans="1:11" s="144" customFormat="1" ht="12" customHeight="1">
      <c r="A196" s="290" t="s">
        <v>110</v>
      </c>
      <c r="B196" s="95" t="s">
        <v>32</v>
      </c>
      <c r="C196" s="372"/>
      <c r="D196" s="97"/>
      <c r="E196" s="95" t="s">
        <v>33</v>
      </c>
      <c r="F196" s="372"/>
      <c r="G196" s="97"/>
      <c r="H196" s="95" t="s">
        <v>34</v>
      </c>
      <c r="I196" s="372"/>
      <c r="J196" s="97"/>
      <c r="K196" s="9"/>
    </row>
    <row r="197" spans="1:11" ht="12" customHeight="1">
      <c r="A197" s="9" t="s">
        <v>35</v>
      </c>
      <c r="B197" s="285" t="s">
        <v>200</v>
      </c>
      <c r="C197" s="308" t="s">
        <v>207</v>
      </c>
      <c r="D197" s="100" t="s">
        <v>67</v>
      </c>
      <c r="E197" s="285" t="str">
        <f>B197</f>
        <v>2018 Certified</v>
      </c>
      <c r="F197" s="308" t="s">
        <v>207</v>
      </c>
      <c r="G197" s="100" t="s">
        <v>67</v>
      </c>
      <c r="H197" s="101" t="str">
        <f>B197</f>
        <v>2018 Certified</v>
      </c>
      <c r="I197" s="384" t="s">
        <v>204</v>
      </c>
      <c r="J197" s="100" t="s">
        <v>67</v>
      </c>
      <c r="K197" s="287" t="s">
        <v>71</v>
      </c>
    </row>
    <row r="198" spans="1:11" s="144" customFormat="1" ht="12" customHeight="1">
      <c r="A198" s="9"/>
      <c r="B198" s="103"/>
      <c r="C198" s="108"/>
      <c r="D198" s="105"/>
      <c r="E198" s="103"/>
      <c r="F198" s="108"/>
      <c r="G198" s="105"/>
      <c r="H198" s="103"/>
      <c r="I198" s="108"/>
      <c r="J198" s="105"/>
      <c r="K198" s="9"/>
    </row>
    <row r="199" spans="1:11" s="144" customFormat="1" ht="12" customHeight="1">
      <c r="A199" s="9" t="s">
        <v>36</v>
      </c>
      <c r="B199" s="107">
        <v>0</v>
      </c>
      <c r="C199" s="108"/>
      <c r="D199" s="105"/>
      <c r="E199" s="109">
        <v>0</v>
      </c>
      <c r="F199" s="109">
        <v>0</v>
      </c>
      <c r="G199" s="110" t="e">
        <f>(F199-E199)/E199</f>
        <v>#DIV/0!</v>
      </c>
      <c r="H199" s="107">
        <f aca="true" t="shared" si="24" ref="H199:H209">B199+E199</f>
        <v>0</v>
      </c>
      <c r="I199" s="108">
        <f aca="true" t="shared" si="25" ref="I199:I209">C199+F199</f>
        <v>0</v>
      </c>
      <c r="J199" s="110" t="e">
        <f>(I199-H199)/H199</f>
        <v>#DIV/0!</v>
      </c>
      <c r="K199" s="291">
        <f>I199/I210</f>
        <v>0</v>
      </c>
    </row>
    <row r="200" spans="1:11" s="144" customFormat="1" ht="12" customHeight="1">
      <c r="A200" s="9" t="s">
        <v>37</v>
      </c>
      <c r="B200" s="107">
        <v>0</v>
      </c>
      <c r="C200" s="108"/>
      <c r="D200" s="105"/>
      <c r="E200" s="109">
        <v>0</v>
      </c>
      <c r="F200" s="109">
        <v>0</v>
      </c>
      <c r="G200" s="110">
        <v>0</v>
      </c>
      <c r="H200" s="107">
        <f t="shared" si="24"/>
        <v>0</v>
      </c>
      <c r="I200" s="108">
        <f t="shared" si="25"/>
        <v>0</v>
      </c>
      <c r="J200" s="110">
        <v>0</v>
      </c>
      <c r="K200" s="291">
        <f>I200/I210</f>
        <v>0</v>
      </c>
    </row>
    <row r="201" spans="1:11" s="144" customFormat="1" ht="12" customHeight="1">
      <c r="A201" s="9" t="s">
        <v>38</v>
      </c>
      <c r="B201" s="107">
        <v>0</v>
      </c>
      <c r="C201" s="108"/>
      <c r="D201" s="105"/>
      <c r="E201" s="109">
        <v>0</v>
      </c>
      <c r="F201" s="109">
        <v>0</v>
      </c>
      <c r="G201" s="110" t="e">
        <f>(F201-E201)/E201</f>
        <v>#DIV/0!</v>
      </c>
      <c r="H201" s="107">
        <f t="shared" si="24"/>
        <v>0</v>
      </c>
      <c r="I201" s="108">
        <f t="shared" si="25"/>
        <v>0</v>
      </c>
      <c r="J201" s="110" t="e">
        <f aca="true" t="shared" si="26" ref="J201:J207">(I201-H201)/H201</f>
        <v>#DIV/0!</v>
      </c>
      <c r="K201" s="291">
        <f>I201/I210</f>
        <v>0</v>
      </c>
    </row>
    <row r="202" spans="1:11" s="144" customFormat="1" ht="12" customHeight="1">
      <c r="A202" s="9" t="s">
        <v>39</v>
      </c>
      <c r="B202" s="107">
        <v>0</v>
      </c>
      <c r="C202" s="108"/>
      <c r="D202" s="105"/>
      <c r="E202" s="109">
        <v>14048660</v>
      </c>
      <c r="F202" s="109">
        <v>13949609</v>
      </c>
      <c r="G202" s="110">
        <f>(F202-E202)/E202</f>
        <v>-0.007050565676726464</v>
      </c>
      <c r="H202" s="108">
        <f t="shared" si="24"/>
        <v>14048660</v>
      </c>
      <c r="I202" s="108">
        <f t="shared" si="25"/>
        <v>13949609</v>
      </c>
      <c r="J202" s="110">
        <f t="shared" si="26"/>
        <v>-0.007050565676726464</v>
      </c>
      <c r="K202" s="291">
        <f>I202/I210</f>
        <v>0.8997425825593395</v>
      </c>
    </row>
    <row r="203" spans="1:11" s="144" customFormat="1" ht="12" customHeight="1">
      <c r="A203" s="9" t="s">
        <v>40</v>
      </c>
      <c r="B203" s="107">
        <v>0</v>
      </c>
      <c r="C203" s="108"/>
      <c r="D203" s="110"/>
      <c r="E203" s="109">
        <v>74140</v>
      </c>
      <c r="F203" s="109">
        <v>87843</v>
      </c>
      <c r="G203" s="110">
        <f>(F203-E203)/E203</f>
        <v>0.18482600485567843</v>
      </c>
      <c r="H203" s="108">
        <f t="shared" si="24"/>
        <v>74140</v>
      </c>
      <c r="I203" s="108">
        <f t="shared" si="25"/>
        <v>87843</v>
      </c>
      <c r="J203" s="110">
        <f t="shared" si="26"/>
        <v>0.18482600485567843</v>
      </c>
      <c r="K203" s="291">
        <f>I203/I210</f>
        <v>0.005665828173374613</v>
      </c>
    </row>
    <row r="204" spans="1:11" s="144" customFormat="1" ht="12" customHeight="1">
      <c r="A204" s="9" t="s">
        <v>41</v>
      </c>
      <c r="B204" s="152">
        <v>9320</v>
      </c>
      <c r="C204" s="109">
        <v>6586</v>
      </c>
      <c r="D204" s="110">
        <f>(C204-B204)/B204</f>
        <v>-0.29334763948497855</v>
      </c>
      <c r="E204" s="109">
        <v>0</v>
      </c>
      <c r="F204" s="109">
        <v>0</v>
      </c>
      <c r="G204" s="110">
        <v>0</v>
      </c>
      <c r="H204" s="108">
        <f t="shared" si="24"/>
        <v>9320</v>
      </c>
      <c r="I204" s="108">
        <f t="shared" si="25"/>
        <v>6586</v>
      </c>
      <c r="J204" s="110">
        <f t="shared" si="26"/>
        <v>-0.29334763948497855</v>
      </c>
      <c r="K204" s="291">
        <f>I204/I210</f>
        <v>0.0004247936016511868</v>
      </c>
    </row>
    <row r="205" spans="1:11" s="144" customFormat="1" ht="12" customHeight="1">
      <c r="A205" s="9" t="s">
        <v>42</v>
      </c>
      <c r="B205" s="152">
        <v>1277700</v>
      </c>
      <c r="C205" s="109">
        <v>1102167</v>
      </c>
      <c r="D205" s="110">
        <f>(C205-B205)/B205</f>
        <v>-0.13738201455740784</v>
      </c>
      <c r="E205" s="109">
        <v>0</v>
      </c>
      <c r="F205" s="109">
        <v>0</v>
      </c>
      <c r="G205" s="110">
        <v>0</v>
      </c>
      <c r="H205" s="108">
        <f t="shared" si="24"/>
        <v>1277700</v>
      </c>
      <c r="I205" s="108">
        <f t="shared" si="25"/>
        <v>1102167</v>
      </c>
      <c r="J205" s="110">
        <f t="shared" si="26"/>
        <v>-0.13738201455740784</v>
      </c>
      <c r="K205" s="291">
        <f>I205/I210</f>
        <v>0.0710892027863777</v>
      </c>
    </row>
    <row r="206" spans="1:11" s="144" customFormat="1" ht="12" customHeight="1">
      <c r="A206" s="9" t="s">
        <v>43</v>
      </c>
      <c r="B206" s="152">
        <v>0</v>
      </c>
      <c r="C206" s="109"/>
      <c r="D206" s="110" t="e">
        <f>(C206-B206)/B206</f>
        <v>#DIV/0!</v>
      </c>
      <c r="E206" s="109">
        <v>0</v>
      </c>
      <c r="F206" s="109">
        <v>0</v>
      </c>
      <c r="G206" s="110" t="e">
        <f>(F206-E206)/E206</f>
        <v>#DIV/0!</v>
      </c>
      <c r="H206" s="108">
        <f t="shared" si="24"/>
        <v>0</v>
      </c>
      <c r="I206" s="108">
        <f t="shared" si="25"/>
        <v>0</v>
      </c>
      <c r="J206" s="110" t="e">
        <f t="shared" si="26"/>
        <v>#DIV/0!</v>
      </c>
      <c r="K206" s="291">
        <f>I206/I210</f>
        <v>0</v>
      </c>
    </row>
    <row r="207" spans="1:11" s="144" customFormat="1" ht="12" customHeight="1">
      <c r="A207" s="9" t="s">
        <v>44</v>
      </c>
      <c r="B207" s="107">
        <v>0</v>
      </c>
      <c r="C207" s="108"/>
      <c r="D207" s="110"/>
      <c r="E207" s="109">
        <v>315260</v>
      </c>
      <c r="F207" s="109">
        <v>295443</v>
      </c>
      <c r="G207" s="110">
        <f>(F207-E207)/E207</f>
        <v>-0.06285922730444712</v>
      </c>
      <c r="H207" s="108">
        <f t="shared" si="24"/>
        <v>315260</v>
      </c>
      <c r="I207" s="108">
        <f t="shared" si="25"/>
        <v>295443</v>
      </c>
      <c r="J207" s="110">
        <f t="shared" si="26"/>
        <v>-0.06285922730444712</v>
      </c>
      <c r="K207" s="291">
        <f>I207/I210</f>
        <v>0.01905592105263158</v>
      </c>
    </row>
    <row r="208" spans="1:11" s="144" customFormat="1" ht="12" customHeight="1">
      <c r="A208" s="9" t="s">
        <v>45</v>
      </c>
      <c r="B208" s="107">
        <v>0</v>
      </c>
      <c r="C208" s="108"/>
      <c r="D208" s="110"/>
      <c r="E208" s="109">
        <v>0</v>
      </c>
      <c r="F208" s="109">
        <v>0</v>
      </c>
      <c r="G208" s="110">
        <v>0</v>
      </c>
      <c r="H208" s="108">
        <f t="shared" si="24"/>
        <v>0</v>
      </c>
      <c r="I208" s="108">
        <f t="shared" si="25"/>
        <v>0</v>
      </c>
      <c r="J208" s="110">
        <v>0</v>
      </c>
      <c r="K208" s="291">
        <f>I208/I210</f>
        <v>0</v>
      </c>
    </row>
    <row r="209" spans="1:11" s="144" customFormat="1" ht="12" customHeight="1" thickBot="1">
      <c r="A209" s="9" t="s">
        <v>46</v>
      </c>
      <c r="B209" s="276">
        <v>0</v>
      </c>
      <c r="C209" s="277"/>
      <c r="D209" s="278"/>
      <c r="E209" s="109">
        <v>64280</v>
      </c>
      <c r="F209" s="109">
        <v>62352</v>
      </c>
      <c r="G209" s="110">
        <f>(F209-E209)/E209</f>
        <v>-0.02999377722464219</v>
      </c>
      <c r="H209" s="108">
        <f t="shared" si="24"/>
        <v>64280</v>
      </c>
      <c r="I209" s="108">
        <f t="shared" si="25"/>
        <v>62352</v>
      </c>
      <c r="J209" s="110">
        <f>(I209-H209)/H209</f>
        <v>-0.02999377722464219</v>
      </c>
      <c r="K209" s="293">
        <f>I209/I210</f>
        <v>0.004021671826625387</v>
      </c>
    </row>
    <row r="210" spans="1:11" s="144" customFormat="1" ht="12" customHeight="1" thickBot="1">
      <c r="A210" s="294" t="s">
        <v>47</v>
      </c>
      <c r="B210" s="276">
        <f>B204+B205+B206</f>
        <v>1287020</v>
      </c>
      <c r="C210" s="277">
        <f>SUM(C199:C209)</f>
        <v>1108753</v>
      </c>
      <c r="D210" s="278">
        <f>(C210-B210)/B210</f>
        <v>-0.13851144504358906</v>
      </c>
      <c r="E210" s="295">
        <f>SUM(E199:E209)</f>
        <v>14502340</v>
      </c>
      <c r="F210" s="296">
        <f>SUM(F199:F209)</f>
        <v>14395247</v>
      </c>
      <c r="G210" s="297">
        <f>(F210-E210)/E210</f>
        <v>-0.007384532427180717</v>
      </c>
      <c r="H210" s="314">
        <f>SUM(H199:H209)</f>
        <v>15789360</v>
      </c>
      <c r="I210" s="315">
        <f>SUM(I199:I209)</f>
        <v>15504000</v>
      </c>
      <c r="J210" s="297">
        <f>(I210-H210)/H210</f>
        <v>-0.0180729301250969</v>
      </c>
      <c r="K210" s="117">
        <f>SUM(K199:K209)</f>
        <v>0.9999999999999999</v>
      </c>
    </row>
    <row r="211" spans="1:11" s="144" customFormat="1" ht="12" customHeight="1">
      <c r="A211" s="113" t="str">
        <f>A55</f>
        <v>Less Minimum Value Loss</v>
      </c>
      <c r="B211" s="9"/>
      <c r="C211" s="112"/>
      <c r="D211" s="9"/>
      <c r="E211" s="9"/>
      <c r="F211" s="112"/>
      <c r="G211" s="9"/>
      <c r="H211" s="112">
        <v>0</v>
      </c>
      <c r="I211" s="118">
        <v>0</v>
      </c>
      <c r="J211" s="117">
        <v>0</v>
      </c>
      <c r="K211" s="9"/>
    </row>
    <row r="212" spans="1:11" s="144" customFormat="1" ht="12" customHeight="1">
      <c r="A212" s="113" t="s">
        <v>174</v>
      </c>
      <c r="B212" s="9"/>
      <c r="C212" s="112"/>
      <c r="D212" s="9"/>
      <c r="E212" s="9"/>
      <c r="F212" s="112"/>
      <c r="G212" s="9"/>
      <c r="H212" s="118">
        <v>-3780</v>
      </c>
      <c r="I212" s="118">
        <v>-620</v>
      </c>
      <c r="J212" s="117">
        <f>(I212-H212)/H212</f>
        <v>-0.8359788359788359</v>
      </c>
      <c r="K212" s="9"/>
    </row>
    <row r="213" spans="1:11" s="144" customFormat="1" ht="12" customHeight="1">
      <c r="A213" s="113" t="s">
        <v>49</v>
      </c>
      <c r="B213" s="9"/>
      <c r="C213" s="112"/>
      <c r="D213" s="9"/>
      <c r="E213" s="9"/>
      <c r="F213" s="112"/>
      <c r="G213" s="9"/>
      <c r="H213" s="118">
        <v>-6981390</v>
      </c>
      <c r="I213" s="118">
        <v>-7110150</v>
      </c>
      <c r="J213" s="117">
        <f>(I213-H213)/H213</f>
        <v>0.018443318594148158</v>
      </c>
      <c r="K213" s="9"/>
    </row>
    <row r="214" spans="1:11" s="144" customFormat="1" ht="12" customHeight="1">
      <c r="A214" s="294" t="s">
        <v>50</v>
      </c>
      <c r="B214" s="301"/>
      <c r="C214" s="392"/>
      <c r="D214" s="301"/>
      <c r="E214" s="301"/>
      <c r="F214" s="392"/>
      <c r="G214" s="301"/>
      <c r="H214" s="283">
        <f>SUM(H210:H213)</f>
        <v>8804190</v>
      </c>
      <c r="I214" s="304">
        <f>SUM(I210:I213)</f>
        <v>8393230</v>
      </c>
      <c r="J214" s="303">
        <f>(I214-H214)/H214</f>
        <v>-0.04667777501394223</v>
      </c>
      <c r="K214" s="9"/>
    </row>
    <row r="215" spans="1:11" s="144" customFormat="1" ht="12" customHeight="1">
      <c r="A215" s="113" t="s">
        <v>127</v>
      </c>
      <c r="B215" s="9"/>
      <c r="C215" s="112"/>
      <c r="D215" s="9"/>
      <c r="E215" s="9"/>
      <c r="F215" s="112"/>
      <c r="G215" s="9"/>
      <c r="H215" s="120">
        <v>-1170</v>
      </c>
      <c r="I215" s="120">
        <v>-1170</v>
      </c>
      <c r="J215" s="117">
        <v>0</v>
      </c>
      <c r="K215" s="9"/>
    </row>
    <row r="216" spans="1:11" s="144" customFormat="1" ht="12" customHeight="1">
      <c r="A216" s="113" t="s">
        <v>78</v>
      </c>
      <c r="B216" s="9"/>
      <c r="C216" s="112"/>
      <c r="D216" s="9"/>
      <c r="E216" s="9"/>
      <c r="F216" s="112"/>
      <c r="G216" s="9"/>
      <c r="H216" s="118">
        <v>0</v>
      </c>
      <c r="I216" s="118">
        <v>0</v>
      </c>
      <c r="J216" s="117">
        <v>0</v>
      </c>
      <c r="K216" s="9"/>
    </row>
    <row r="217" spans="1:11" s="144" customFormat="1" ht="12" customHeight="1">
      <c r="A217" s="113" t="s">
        <v>128</v>
      </c>
      <c r="B217" s="9"/>
      <c r="C217" s="112"/>
      <c r="D217" s="9"/>
      <c r="E217" s="9"/>
      <c r="F217" s="112"/>
      <c r="G217" s="9"/>
      <c r="H217" s="118">
        <v>0</v>
      </c>
      <c r="I217" s="118">
        <v>0</v>
      </c>
      <c r="J217" s="117">
        <v>0</v>
      </c>
      <c r="K217" s="9"/>
    </row>
    <row r="218" spans="1:11" s="144" customFormat="1" ht="12" customHeight="1">
      <c r="A218" s="113" t="s">
        <v>157</v>
      </c>
      <c r="B218" s="9"/>
      <c r="C218" s="112"/>
      <c r="D218" s="9"/>
      <c r="E218" s="9"/>
      <c r="F218" s="112"/>
      <c r="G218" s="9"/>
      <c r="H218" s="118">
        <v>-64280</v>
      </c>
      <c r="I218" s="118">
        <v>-64280</v>
      </c>
      <c r="J218" s="117">
        <f>(I218-H218)/H218</f>
        <v>0</v>
      </c>
      <c r="K218" s="9"/>
    </row>
    <row r="219" spans="1:11" s="144" customFormat="1" ht="12" customHeight="1">
      <c r="A219" s="113" t="s">
        <v>53</v>
      </c>
      <c r="B219" s="9"/>
      <c r="C219" s="112"/>
      <c r="D219" s="9"/>
      <c r="E219" s="9"/>
      <c r="F219" s="112"/>
      <c r="G219" s="9"/>
      <c r="H219" s="118">
        <v>-844380</v>
      </c>
      <c r="I219" s="118">
        <v>-820040</v>
      </c>
      <c r="J219" s="117">
        <f>(I219-H219)/H219</f>
        <v>-0.028825884080627206</v>
      </c>
      <c r="K219" s="9"/>
    </row>
    <row r="220" spans="1:11" s="144" customFormat="1" ht="12" customHeight="1">
      <c r="A220" s="113" t="s">
        <v>54</v>
      </c>
      <c r="B220" s="9"/>
      <c r="C220" s="112"/>
      <c r="D220" s="9"/>
      <c r="E220" s="9"/>
      <c r="F220" s="112"/>
      <c r="G220" s="9"/>
      <c r="H220" s="118">
        <v>-130760</v>
      </c>
      <c r="I220" s="118">
        <v>-130000</v>
      </c>
      <c r="J220" s="117">
        <f>(I220-H220)/H220</f>
        <v>-0.005812174977057204</v>
      </c>
      <c r="K220" s="9"/>
    </row>
    <row r="221" spans="1:11" s="144" customFormat="1" ht="12" customHeight="1">
      <c r="A221" s="113" t="s">
        <v>55</v>
      </c>
      <c r="B221" s="9"/>
      <c r="C221" s="112"/>
      <c r="D221" s="9"/>
      <c r="E221" s="9"/>
      <c r="F221" s="112"/>
      <c r="G221" s="9"/>
      <c r="H221" s="118">
        <v>-10000</v>
      </c>
      <c r="I221" s="118">
        <v>-10000</v>
      </c>
      <c r="J221" s="117">
        <f aca="true" t="shared" si="27" ref="J221:J226">(I221-H221)/H221</f>
        <v>0</v>
      </c>
      <c r="K221" s="9"/>
    </row>
    <row r="222" spans="1:11" s="144" customFormat="1" ht="12" customHeight="1">
      <c r="A222" s="113" t="s">
        <v>56</v>
      </c>
      <c r="B222" s="9"/>
      <c r="C222" s="112"/>
      <c r="D222" s="9"/>
      <c r="E222" s="9"/>
      <c r="F222" s="112"/>
      <c r="G222" s="9"/>
      <c r="H222" s="118">
        <v>-12000</v>
      </c>
      <c r="I222" s="118">
        <v>-12000</v>
      </c>
      <c r="J222" s="117">
        <f t="shared" si="27"/>
        <v>0</v>
      </c>
      <c r="K222" s="9"/>
    </row>
    <row r="223" spans="1:11" s="144" customFormat="1" ht="12" customHeight="1">
      <c r="A223" s="113" t="s">
        <v>57</v>
      </c>
      <c r="B223" s="9"/>
      <c r="C223" s="112"/>
      <c r="D223" s="9"/>
      <c r="E223" s="9"/>
      <c r="F223" s="112"/>
      <c r="G223" s="9"/>
      <c r="H223" s="118">
        <v>0</v>
      </c>
      <c r="I223" s="118">
        <v>0</v>
      </c>
      <c r="J223" s="117">
        <v>0</v>
      </c>
      <c r="K223" s="9"/>
    </row>
    <row r="224" spans="1:11" s="144" customFormat="1" ht="12" customHeight="1">
      <c r="A224" s="113" t="s">
        <v>58</v>
      </c>
      <c r="B224" s="9"/>
      <c r="C224" s="112"/>
      <c r="D224" s="9"/>
      <c r="E224" s="9"/>
      <c r="F224" s="112"/>
      <c r="G224" s="9"/>
      <c r="H224" s="120">
        <v>0</v>
      </c>
      <c r="I224" s="120">
        <v>0</v>
      </c>
      <c r="J224" s="117">
        <v>0</v>
      </c>
      <c r="K224" s="9"/>
    </row>
    <row r="225" spans="1:11" s="144" customFormat="1" ht="12" customHeight="1">
      <c r="A225" s="113" t="s">
        <v>59</v>
      </c>
      <c r="B225" s="9"/>
      <c r="C225" s="112"/>
      <c r="D225" s="9"/>
      <c r="E225" s="9"/>
      <c r="F225" s="112"/>
      <c r="G225" s="9"/>
      <c r="H225" s="120">
        <v>0</v>
      </c>
      <c r="I225" s="120">
        <v>0</v>
      </c>
      <c r="J225" s="117">
        <v>0</v>
      </c>
      <c r="K225" s="9"/>
    </row>
    <row r="226" spans="1:11" s="144" customFormat="1" ht="12" customHeight="1">
      <c r="A226" s="294" t="s">
        <v>60</v>
      </c>
      <c r="B226" s="301"/>
      <c r="C226" s="392"/>
      <c r="D226" s="301"/>
      <c r="E226" s="301"/>
      <c r="F226" s="392"/>
      <c r="G226" s="301"/>
      <c r="H226" s="283">
        <f>SUM(H214:H225)</f>
        <v>7741600</v>
      </c>
      <c r="I226" s="304">
        <f>SUM(I214:I225)</f>
        <v>7355740</v>
      </c>
      <c r="J226" s="303">
        <f t="shared" si="27"/>
        <v>-0.04984240983775964</v>
      </c>
      <c r="K226" s="9"/>
    </row>
    <row r="227" spans="1:11" s="144" customFormat="1" ht="12" customHeight="1">
      <c r="A227" s="121" t="s">
        <v>61</v>
      </c>
      <c r="B227" s="9"/>
      <c r="C227" s="112"/>
      <c r="D227" s="9"/>
      <c r="E227" s="118">
        <v>1636550</v>
      </c>
      <c r="F227" s="118">
        <v>1660930</v>
      </c>
      <c r="G227" s="123">
        <f>(F227-E227)/E227</f>
        <v>0.014897192264214354</v>
      </c>
      <c r="H227" s="124"/>
      <c r="I227" s="125"/>
      <c r="J227" s="9"/>
      <c r="K227" s="9"/>
    </row>
    <row r="228" spans="1:11" s="144" customFormat="1" ht="12" customHeight="1">
      <c r="A228" s="121" t="s">
        <v>19</v>
      </c>
      <c r="B228" s="9"/>
      <c r="C228" s="112"/>
      <c r="D228" s="9"/>
      <c r="E228" s="137">
        <v>11619.98</v>
      </c>
      <c r="F228" s="387">
        <v>11778.06</v>
      </c>
      <c r="G228" s="123">
        <f>(F228-E228)/E228</f>
        <v>0.013604154224017591</v>
      </c>
      <c r="H228" s="124"/>
      <c r="I228" s="125"/>
      <c r="J228" s="9"/>
      <c r="K228" s="130"/>
    </row>
    <row r="229" spans="1:11" s="144" customFormat="1" ht="12" customHeight="1">
      <c r="A229" s="121"/>
      <c r="B229" s="9"/>
      <c r="C229" s="112"/>
      <c r="D229" s="9"/>
      <c r="E229" s="141"/>
      <c r="F229" s="112"/>
      <c r="G229" s="123"/>
      <c r="H229" s="112"/>
      <c r="I229" s="108"/>
      <c r="J229" s="9"/>
      <c r="K229" s="9"/>
    </row>
    <row r="230" spans="1:11" s="144" customFormat="1" ht="12" customHeight="1">
      <c r="A230" s="121"/>
      <c r="B230" s="104"/>
      <c r="C230" s="108"/>
      <c r="D230" s="104"/>
      <c r="E230" s="104"/>
      <c r="F230" s="108"/>
      <c r="G230" s="104"/>
      <c r="H230" s="125"/>
      <c r="I230" s="125"/>
      <c r="J230" s="123"/>
      <c r="K230" s="9"/>
    </row>
    <row r="231" spans="1:11" s="144" customFormat="1" ht="12" customHeight="1">
      <c r="A231" s="121" t="s">
        <v>18</v>
      </c>
      <c r="B231" s="9"/>
      <c r="C231" s="112"/>
      <c r="D231" s="9"/>
      <c r="E231" s="9"/>
      <c r="F231" s="112"/>
      <c r="G231" s="9"/>
      <c r="H231" s="316">
        <v>190650</v>
      </c>
      <c r="I231" s="118">
        <v>14220</v>
      </c>
      <c r="J231" s="123">
        <v>0</v>
      </c>
      <c r="K231" s="9"/>
    </row>
    <row r="232" spans="1:11" s="144" customFormat="1" ht="12.75" customHeight="1">
      <c r="A232" s="121" t="s">
        <v>17</v>
      </c>
      <c r="B232" s="9"/>
      <c r="C232" s="112"/>
      <c r="D232" s="9"/>
      <c r="E232" s="9"/>
      <c r="F232" s="112"/>
      <c r="G232" s="9"/>
      <c r="H232" s="144">
        <v>143</v>
      </c>
      <c r="I232" s="118">
        <v>144</v>
      </c>
      <c r="J232" s="123">
        <f>(I232-H232)/H232</f>
        <v>0.006993006993006993</v>
      </c>
      <c r="K232" s="9"/>
    </row>
    <row r="233" spans="1:11" s="144" customFormat="1" ht="12.75" customHeight="1">
      <c r="A233" s="121"/>
      <c r="B233" s="9"/>
      <c r="C233" s="112"/>
      <c r="D233" s="9"/>
      <c r="E233" s="9"/>
      <c r="F233" s="112"/>
      <c r="G233" s="9"/>
      <c r="I233" s="118"/>
      <c r="J233" s="123"/>
      <c r="K233" s="9"/>
    </row>
    <row r="234" spans="1:10" s="136" customFormat="1" ht="12" customHeight="1" thickBot="1">
      <c r="A234" s="132"/>
      <c r="C234" s="140"/>
      <c r="F234" s="140"/>
      <c r="H234" s="140"/>
      <c r="I234" s="140"/>
      <c r="J234" s="135"/>
    </row>
    <row r="235" spans="1:11" s="144" customFormat="1" ht="12" customHeight="1">
      <c r="A235" s="290" t="s">
        <v>111</v>
      </c>
      <c r="B235" s="95" t="s">
        <v>32</v>
      </c>
      <c r="C235" s="372"/>
      <c r="D235" s="97"/>
      <c r="E235" s="95" t="s">
        <v>33</v>
      </c>
      <c r="F235" s="372"/>
      <c r="G235" s="97"/>
      <c r="H235" s="95" t="s">
        <v>34</v>
      </c>
      <c r="I235" s="372"/>
      <c r="J235" s="97"/>
      <c r="K235" s="9"/>
    </row>
    <row r="236" spans="1:11" ht="12" customHeight="1">
      <c r="A236" s="9" t="s">
        <v>35</v>
      </c>
      <c r="B236" s="285" t="s">
        <v>200</v>
      </c>
      <c r="C236" s="308" t="s">
        <v>207</v>
      </c>
      <c r="D236" s="100" t="s">
        <v>67</v>
      </c>
      <c r="E236" s="285" t="str">
        <f>B236</f>
        <v>2018 Certified</v>
      </c>
      <c r="F236" s="308" t="s">
        <v>207</v>
      </c>
      <c r="G236" s="100" t="s">
        <v>67</v>
      </c>
      <c r="H236" s="101" t="str">
        <f>B236</f>
        <v>2018 Certified</v>
      </c>
      <c r="I236" s="384" t="s">
        <v>204</v>
      </c>
      <c r="J236" s="100" t="s">
        <v>67</v>
      </c>
      <c r="K236" s="287" t="s">
        <v>71</v>
      </c>
    </row>
    <row r="237" spans="1:11" s="144" customFormat="1" ht="12" customHeight="1">
      <c r="A237" s="9"/>
      <c r="B237" s="103"/>
      <c r="C237" s="108"/>
      <c r="D237" s="105"/>
      <c r="E237" s="103"/>
      <c r="F237" s="108"/>
      <c r="G237" s="105"/>
      <c r="H237" s="103"/>
      <c r="I237" s="108"/>
      <c r="J237" s="105"/>
      <c r="K237" s="9"/>
    </row>
    <row r="238" spans="1:11" s="144" customFormat="1" ht="12" customHeight="1">
      <c r="A238" s="9" t="s">
        <v>36</v>
      </c>
      <c r="B238" s="107">
        <v>0</v>
      </c>
      <c r="C238" s="108">
        <v>0</v>
      </c>
      <c r="D238" s="105"/>
      <c r="E238" s="109">
        <v>474450</v>
      </c>
      <c r="F238" s="109">
        <v>456744</v>
      </c>
      <c r="G238" s="110">
        <f aca="true" t="shared" si="28" ref="G238:G249">(F238-E238)/E238</f>
        <v>-0.037319000948466644</v>
      </c>
      <c r="H238" s="107">
        <f aca="true" t="shared" si="29" ref="H238:H248">B238+E238</f>
        <v>474450</v>
      </c>
      <c r="I238" s="108">
        <f aca="true" t="shared" si="30" ref="I238:I248">C238+F238</f>
        <v>456744</v>
      </c>
      <c r="J238" s="110">
        <f>(I238-H238)/H238</f>
        <v>-0.037319000948466644</v>
      </c>
      <c r="K238" s="291">
        <f>I238/I249</f>
        <v>0.1122109746354416</v>
      </c>
    </row>
    <row r="239" spans="1:11" s="144" customFormat="1" ht="12" customHeight="1">
      <c r="A239" s="9" t="s">
        <v>37</v>
      </c>
      <c r="B239" s="107">
        <v>0</v>
      </c>
      <c r="C239" s="108">
        <v>0</v>
      </c>
      <c r="D239" s="105"/>
      <c r="E239" s="109">
        <v>0</v>
      </c>
      <c r="F239" s="109">
        <v>0</v>
      </c>
      <c r="G239" s="110" t="e">
        <f t="shared" si="28"/>
        <v>#DIV/0!</v>
      </c>
      <c r="H239" s="107">
        <f t="shared" si="29"/>
        <v>0</v>
      </c>
      <c r="I239" s="108">
        <f t="shared" si="30"/>
        <v>0</v>
      </c>
      <c r="J239" s="110">
        <v>0</v>
      </c>
      <c r="K239" s="291">
        <f>I239/I249</f>
        <v>0</v>
      </c>
    </row>
    <row r="240" spans="1:11" s="144" customFormat="1" ht="12" customHeight="1">
      <c r="A240" s="9" t="s">
        <v>38</v>
      </c>
      <c r="B240" s="107">
        <v>0</v>
      </c>
      <c r="C240" s="108">
        <v>0</v>
      </c>
      <c r="D240" s="105"/>
      <c r="E240" s="109">
        <v>68260</v>
      </c>
      <c r="F240" s="109">
        <v>66212</v>
      </c>
      <c r="G240" s="110">
        <f t="shared" si="28"/>
        <v>-0.030002929973630237</v>
      </c>
      <c r="H240" s="107">
        <f t="shared" si="29"/>
        <v>68260</v>
      </c>
      <c r="I240" s="108">
        <f t="shared" si="30"/>
        <v>66212</v>
      </c>
      <c r="J240" s="110">
        <f>(I240-H240)/H240</f>
        <v>-0.030002929973630237</v>
      </c>
      <c r="K240" s="291">
        <f>I240/I249</f>
        <v>0.0162666899894949</v>
      </c>
    </row>
    <row r="241" spans="1:11" s="144" customFormat="1" ht="12" customHeight="1">
      <c r="A241" s="9" t="s">
        <v>39</v>
      </c>
      <c r="B241" s="107">
        <v>0</v>
      </c>
      <c r="C241" s="108">
        <v>0</v>
      </c>
      <c r="D241" s="105"/>
      <c r="E241" s="109">
        <v>3374510</v>
      </c>
      <c r="F241" s="109">
        <v>3365017</v>
      </c>
      <c r="G241" s="110">
        <f t="shared" si="28"/>
        <v>-0.0028131491683236975</v>
      </c>
      <c r="H241" s="107">
        <f t="shared" si="29"/>
        <v>3374510</v>
      </c>
      <c r="I241" s="108">
        <f t="shared" si="30"/>
        <v>3365017</v>
      </c>
      <c r="J241" s="110">
        <f>(I241-H241)/H241</f>
        <v>-0.0028131491683236975</v>
      </c>
      <c r="K241" s="291">
        <f>I241/I249</f>
        <v>0.8267034427049502</v>
      </c>
    </row>
    <row r="242" spans="1:11" s="144" customFormat="1" ht="12" customHeight="1">
      <c r="A242" s="9" t="s">
        <v>40</v>
      </c>
      <c r="B242" s="107">
        <v>0</v>
      </c>
      <c r="C242" s="108">
        <v>0</v>
      </c>
      <c r="D242" s="110"/>
      <c r="E242" s="109">
        <v>0</v>
      </c>
      <c r="F242" s="109">
        <v>0</v>
      </c>
      <c r="G242" s="110" t="e">
        <f t="shared" si="28"/>
        <v>#DIV/0!</v>
      </c>
      <c r="H242" s="107">
        <f t="shared" si="29"/>
        <v>0</v>
      </c>
      <c r="I242" s="108">
        <f t="shared" si="30"/>
        <v>0</v>
      </c>
      <c r="J242" s="110">
        <v>0</v>
      </c>
      <c r="K242" s="291">
        <f>I242/I249</f>
        <v>0</v>
      </c>
    </row>
    <row r="243" spans="1:11" s="144" customFormat="1" ht="12" customHeight="1">
      <c r="A243" s="9" t="s">
        <v>41</v>
      </c>
      <c r="B243" s="152">
        <v>0</v>
      </c>
      <c r="C243" s="109">
        <v>0</v>
      </c>
      <c r="D243" s="110" t="e">
        <f>(C243-B243)/B243</f>
        <v>#DIV/0!</v>
      </c>
      <c r="E243" s="109">
        <v>0</v>
      </c>
      <c r="F243" s="109">
        <v>0</v>
      </c>
      <c r="G243" s="110" t="e">
        <f t="shared" si="28"/>
        <v>#DIV/0!</v>
      </c>
      <c r="H243" s="107">
        <f t="shared" si="29"/>
        <v>0</v>
      </c>
      <c r="I243" s="108">
        <f t="shared" si="30"/>
        <v>0</v>
      </c>
      <c r="J243" s="110">
        <v>0</v>
      </c>
      <c r="K243" s="291">
        <f>I243/I249</f>
        <v>0</v>
      </c>
    </row>
    <row r="244" spans="1:11" s="144" customFormat="1" ht="12" customHeight="1">
      <c r="A244" s="9" t="s">
        <v>42</v>
      </c>
      <c r="B244" s="152">
        <v>138780</v>
      </c>
      <c r="C244" s="109">
        <v>127451</v>
      </c>
      <c r="D244" s="110">
        <f>(C244-B244)/B244</f>
        <v>-0.0816328001152904</v>
      </c>
      <c r="E244" s="109">
        <v>0</v>
      </c>
      <c r="F244" s="109">
        <v>0</v>
      </c>
      <c r="G244" s="110" t="e">
        <f t="shared" si="28"/>
        <v>#DIV/0!</v>
      </c>
      <c r="H244" s="107">
        <f t="shared" si="29"/>
        <v>138780</v>
      </c>
      <c r="I244" s="108">
        <f t="shared" si="30"/>
        <v>127451</v>
      </c>
      <c r="J244" s="110">
        <f>(I244-H244)/H244</f>
        <v>-0.0816328001152904</v>
      </c>
      <c r="K244" s="291">
        <f>I244/I249</f>
        <v>0.03131163393117735</v>
      </c>
    </row>
    <row r="245" spans="1:11" s="144" customFormat="1" ht="12" customHeight="1">
      <c r="A245" s="9" t="s">
        <v>43</v>
      </c>
      <c r="B245" s="107">
        <v>0</v>
      </c>
      <c r="C245" s="109">
        <v>0</v>
      </c>
      <c r="D245" s="110"/>
      <c r="E245" s="109">
        <v>400</v>
      </c>
      <c r="F245" s="109">
        <v>427</v>
      </c>
      <c r="G245" s="110">
        <f t="shared" si="28"/>
        <v>0.0675</v>
      </c>
      <c r="H245" s="107">
        <f t="shared" si="29"/>
        <v>400</v>
      </c>
      <c r="I245" s="108">
        <f t="shared" si="30"/>
        <v>427</v>
      </c>
      <c r="J245" s="110">
        <v>0</v>
      </c>
      <c r="K245" s="291">
        <f>I245/I249</f>
        <v>0.00010490359187933188</v>
      </c>
    </row>
    <row r="246" spans="1:11" s="144" customFormat="1" ht="12" customHeight="1">
      <c r="A246" s="9" t="s">
        <v>44</v>
      </c>
      <c r="B246" s="107">
        <v>0</v>
      </c>
      <c r="C246" s="108">
        <v>0</v>
      </c>
      <c r="D246" s="110"/>
      <c r="E246" s="109">
        <v>64650</v>
      </c>
      <c r="F246" s="109">
        <v>54553</v>
      </c>
      <c r="G246" s="110">
        <f t="shared" si="28"/>
        <v>-0.15617942768754833</v>
      </c>
      <c r="H246" s="107">
        <f t="shared" si="29"/>
        <v>64650</v>
      </c>
      <c r="I246" s="108">
        <f t="shared" si="30"/>
        <v>54553</v>
      </c>
      <c r="J246" s="110">
        <f>(I246-H246)/H246</f>
        <v>-0.15617942768754833</v>
      </c>
      <c r="K246" s="291">
        <f>I246/I249</f>
        <v>0.013402355147056656</v>
      </c>
    </row>
    <row r="247" spans="1:11" s="144" customFormat="1" ht="12" customHeight="1">
      <c r="A247" s="9" t="s">
        <v>45</v>
      </c>
      <c r="B247" s="107">
        <v>0</v>
      </c>
      <c r="C247" s="108">
        <v>0</v>
      </c>
      <c r="D247" s="110"/>
      <c r="E247" s="109">
        <v>0</v>
      </c>
      <c r="F247" s="109"/>
      <c r="G247" s="110" t="e">
        <f t="shared" si="28"/>
        <v>#DIV/0!</v>
      </c>
      <c r="H247" s="107">
        <f t="shared" si="29"/>
        <v>0</v>
      </c>
      <c r="I247" s="108">
        <f t="shared" si="30"/>
        <v>0</v>
      </c>
      <c r="J247" s="110">
        <v>0</v>
      </c>
      <c r="K247" s="291">
        <f>I247/I249</f>
        <v>0</v>
      </c>
    </row>
    <row r="248" spans="1:11" s="144" customFormat="1" ht="12" customHeight="1">
      <c r="A248" s="9" t="s">
        <v>46</v>
      </c>
      <c r="B248" s="107">
        <v>0</v>
      </c>
      <c r="C248" s="108">
        <v>0</v>
      </c>
      <c r="D248" s="110"/>
      <c r="E248" s="109">
        <v>0</v>
      </c>
      <c r="F248" s="109"/>
      <c r="G248" s="110" t="e">
        <f t="shared" si="28"/>
        <v>#DIV/0!</v>
      </c>
      <c r="H248" s="107">
        <f t="shared" si="29"/>
        <v>0</v>
      </c>
      <c r="I248" s="108">
        <f t="shared" si="30"/>
        <v>0</v>
      </c>
      <c r="J248" s="110" t="e">
        <f>(I248-H248)/H248</f>
        <v>#DIV/0!</v>
      </c>
      <c r="K248" s="293">
        <f>I248/I249</f>
        <v>0</v>
      </c>
    </row>
    <row r="249" spans="1:11" s="144" customFormat="1" ht="12" customHeight="1" thickBot="1">
      <c r="A249" s="294" t="s">
        <v>47</v>
      </c>
      <c r="B249" s="295">
        <f>SUM(B238:B248)</f>
        <v>138780</v>
      </c>
      <c r="C249" s="296">
        <f>SUM(C238:C248)</f>
        <v>127451</v>
      </c>
      <c r="D249" s="297">
        <f>(C249-B249)/B249</f>
        <v>-0.0816328001152904</v>
      </c>
      <c r="E249" s="295">
        <f>SUM(E238:E248)</f>
        <v>3982270</v>
      </c>
      <c r="F249" s="296">
        <f>SUM(F238:F248)</f>
        <v>3942953</v>
      </c>
      <c r="G249" s="297">
        <f t="shared" si="28"/>
        <v>-0.009873012126249602</v>
      </c>
      <c r="H249" s="314">
        <f>SUM(H238:H248)</f>
        <v>4121050</v>
      </c>
      <c r="I249" s="315">
        <f>SUM(I238:I248)</f>
        <v>4070404</v>
      </c>
      <c r="J249" s="297">
        <f>(I249-H249)/H249</f>
        <v>-0.01228958639181762</v>
      </c>
      <c r="K249" s="117">
        <f>SUM(K238:K248)</f>
        <v>1</v>
      </c>
    </row>
    <row r="250" spans="1:11" s="144" customFormat="1" ht="12" customHeight="1">
      <c r="A250" s="113" t="str">
        <f>A94</f>
        <v>Less Minimum Value Loss</v>
      </c>
      <c r="B250" s="9"/>
      <c r="C250" s="112"/>
      <c r="D250" s="9"/>
      <c r="E250" s="9"/>
      <c r="F250" s="112"/>
      <c r="G250" s="9"/>
      <c r="H250" s="112">
        <v>0</v>
      </c>
      <c r="I250" s="118">
        <v>0</v>
      </c>
      <c r="J250" s="126">
        <v>0</v>
      </c>
      <c r="K250" s="9"/>
    </row>
    <row r="251" spans="1:11" s="144" customFormat="1" ht="12" customHeight="1">
      <c r="A251" s="113" t="s">
        <v>174</v>
      </c>
      <c r="B251" s="9"/>
      <c r="C251" s="112"/>
      <c r="D251" s="9"/>
      <c r="E251" s="9"/>
      <c r="F251" s="112"/>
      <c r="G251" s="9"/>
      <c r="H251" s="118">
        <v>-38330</v>
      </c>
      <c r="I251" s="118">
        <v>-36570</v>
      </c>
      <c r="J251" s="126">
        <f>(I251-H251)/H251</f>
        <v>-0.04591703626402296</v>
      </c>
      <c r="K251" s="9"/>
    </row>
    <row r="252" spans="1:11" s="144" customFormat="1" ht="12" customHeight="1">
      <c r="A252" s="113" t="s">
        <v>49</v>
      </c>
      <c r="B252" s="9"/>
      <c r="C252" s="112"/>
      <c r="D252" s="9"/>
      <c r="E252" s="9"/>
      <c r="F252" s="112"/>
      <c r="G252" s="9"/>
      <c r="H252" s="118">
        <v>-885690</v>
      </c>
      <c r="I252" s="118">
        <v>-940590</v>
      </c>
      <c r="J252" s="313">
        <f>(I252-H252)/H252</f>
        <v>0.06198557057209633</v>
      </c>
      <c r="K252" s="9"/>
    </row>
    <row r="253" spans="1:11" s="144" customFormat="1" ht="12" customHeight="1">
      <c r="A253" s="294" t="s">
        <v>50</v>
      </c>
      <c r="B253" s="301"/>
      <c r="C253" s="392"/>
      <c r="D253" s="301"/>
      <c r="E253" s="301"/>
      <c r="F253" s="392"/>
      <c r="G253" s="301"/>
      <c r="H253" s="283">
        <f>SUM(H249:H252)</f>
        <v>3197030</v>
      </c>
      <c r="I253" s="304">
        <f>SUM(I249:I252)</f>
        <v>3093244</v>
      </c>
      <c r="J253" s="317">
        <f>(I253-H253)/H253</f>
        <v>-0.03246325495850837</v>
      </c>
      <c r="K253" s="9"/>
    </row>
    <row r="254" spans="1:11" s="144" customFormat="1" ht="12" customHeight="1">
      <c r="A254" s="113" t="s">
        <v>127</v>
      </c>
      <c r="B254" s="9"/>
      <c r="C254" s="112"/>
      <c r="D254" s="9"/>
      <c r="E254" s="9"/>
      <c r="F254" s="112"/>
      <c r="G254" s="9"/>
      <c r="H254" s="120">
        <v>-280</v>
      </c>
      <c r="I254" s="120">
        <v>-720</v>
      </c>
      <c r="J254" s="117">
        <v>0</v>
      </c>
      <c r="K254" s="9"/>
    </row>
    <row r="255" spans="1:11" s="144" customFormat="1" ht="12" customHeight="1">
      <c r="A255" s="113" t="s">
        <v>78</v>
      </c>
      <c r="B255" s="9"/>
      <c r="C255" s="112"/>
      <c r="D255" s="9"/>
      <c r="E255" s="9"/>
      <c r="F255" s="112"/>
      <c r="G255" s="9"/>
      <c r="H255" s="145">
        <v>0</v>
      </c>
      <c r="I255" s="118">
        <v>0</v>
      </c>
      <c r="J255" s="117">
        <v>0</v>
      </c>
      <c r="K255" s="9"/>
    </row>
    <row r="256" spans="1:11" s="144" customFormat="1" ht="12" customHeight="1">
      <c r="A256" s="113" t="s">
        <v>128</v>
      </c>
      <c r="B256" s="9"/>
      <c r="C256" s="112"/>
      <c r="D256" s="9"/>
      <c r="E256" s="9"/>
      <c r="F256" s="112"/>
      <c r="G256" s="9"/>
      <c r="H256" s="145">
        <v>0</v>
      </c>
      <c r="I256" s="118">
        <v>0</v>
      </c>
      <c r="J256" s="117">
        <v>0</v>
      </c>
      <c r="K256" s="9"/>
    </row>
    <row r="257" spans="1:11" s="144" customFormat="1" ht="12" customHeight="1">
      <c r="A257" s="113" t="s">
        <v>157</v>
      </c>
      <c r="B257" s="9"/>
      <c r="C257" s="112"/>
      <c r="D257" s="9"/>
      <c r="E257" s="9"/>
      <c r="F257" s="112"/>
      <c r="G257" s="9"/>
      <c r="H257" s="118">
        <v>0</v>
      </c>
      <c r="I257" s="118">
        <v>0</v>
      </c>
      <c r="J257" s="117">
        <v>0</v>
      </c>
      <c r="K257" s="9"/>
    </row>
    <row r="258" spans="1:11" s="144" customFormat="1" ht="12" customHeight="1">
      <c r="A258" s="113" t="s">
        <v>53</v>
      </c>
      <c r="B258" s="9"/>
      <c r="C258" s="112"/>
      <c r="D258" s="9"/>
      <c r="E258" s="9"/>
      <c r="F258" s="112"/>
      <c r="G258" s="9"/>
      <c r="H258" s="118">
        <v>-389853</v>
      </c>
      <c r="I258" s="118">
        <v>-409232</v>
      </c>
      <c r="J258" s="117">
        <f>(I258-H258)/H258</f>
        <v>0.04970847986292269</v>
      </c>
      <c r="K258" s="9"/>
    </row>
    <row r="259" spans="1:11" s="144" customFormat="1" ht="12" customHeight="1">
      <c r="A259" s="113" t="s">
        <v>54</v>
      </c>
      <c r="B259" s="9"/>
      <c r="C259" s="112"/>
      <c r="D259" s="9"/>
      <c r="E259" s="9"/>
      <c r="F259" s="112"/>
      <c r="G259" s="9"/>
      <c r="H259" s="118">
        <v>-36620</v>
      </c>
      <c r="I259" s="118">
        <v>-38683</v>
      </c>
      <c r="J259" s="117">
        <f>(I259-H259)/H259</f>
        <v>0.05633533588203168</v>
      </c>
      <c r="K259" s="9"/>
    </row>
    <row r="260" spans="1:11" s="144" customFormat="1" ht="12" customHeight="1">
      <c r="A260" s="113" t="s">
        <v>55</v>
      </c>
      <c r="B260" s="9"/>
      <c r="C260" s="112"/>
      <c r="D260" s="9"/>
      <c r="E260" s="9"/>
      <c r="F260" s="112"/>
      <c r="G260" s="9"/>
      <c r="H260" s="118">
        <v>-18170</v>
      </c>
      <c r="I260" s="118">
        <v>-18440</v>
      </c>
      <c r="J260" s="117">
        <f>(I260-H260)/H260</f>
        <v>0.014859658778205834</v>
      </c>
      <c r="K260" s="9"/>
    </row>
    <row r="261" spans="1:11" s="144" customFormat="1" ht="12" customHeight="1">
      <c r="A261" s="113" t="s">
        <v>56</v>
      </c>
      <c r="B261" s="9"/>
      <c r="C261" s="112"/>
      <c r="D261" s="9"/>
      <c r="E261" s="9"/>
      <c r="F261" s="112"/>
      <c r="G261" s="9"/>
      <c r="H261" s="118">
        <v>-21250</v>
      </c>
      <c r="I261" s="118">
        <v>-22280</v>
      </c>
      <c r="J261" s="117">
        <f>(I261-H261)/H261</f>
        <v>0.04847058823529412</v>
      </c>
      <c r="K261" s="9"/>
    </row>
    <row r="262" spans="1:11" s="144" customFormat="1" ht="12" customHeight="1">
      <c r="A262" s="113" t="s">
        <v>57</v>
      </c>
      <c r="B262" s="9"/>
      <c r="C262" s="112"/>
      <c r="D262" s="9"/>
      <c r="E262" s="9"/>
      <c r="F262" s="112"/>
      <c r="G262" s="9"/>
      <c r="H262" s="145">
        <v>0</v>
      </c>
      <c r="I262" s="118">
        <v>0</v>
      </c>
      <c r="J262" s="117">
        <v>0</v>
      </c>
      <c r="K262" s="9"/>
    </row>
    <row r="263" spans="1:11" s="144" customFormat="1" ht="12" customHeight="1">
      <c r="A263" s="113" t="s">
        <v>58</v>
      </c>
      <c r="B263" s="9"/>
      <c r="C263" s="112"/>
      <c r="D263" s="9"/>
      <c r="E263" s="9"/>
      <c r="F263" s="112"/>
      <c r="G263" s="9"/>
      <c r="H263" s="120">
        <v>0</v>
      </c>
      <c r="I263" s="120">
        <v>0</v>
      </c>
      <c r="J263" s="117">
        <v>0</v>
      </c>
      <c r="K263" s="9"/>
    </row>
    <row r="264" spans="1:11" s="144" customFormat="1" ht="12" customHeight="1">
      <c r="A264" s="113" t="s">
        <v>59</v>
      </c>
      <c r="B264" s="9"/>
      <c r="C264" s="112"/>
      <c r="D264" s="9"/>
      <c r="E264" s="9"/>
      <c r="F264" s="112"/>
      <c r="G264" s="9"/>
      <c r="H264" s="120">
        <v>0</v>
      </c>
      <c r="I264" s="120">
        <v>0</v>
      </c>
      <c r="J264" s="117">
        <v>0</v>
      </c>
      <c r="K264" s="9"/>
    </row>
    <row r="265" spans="1:11" s="144" customFormat="1" ht="12" customHeight="1">
      <c r="A265" s="294" t="s">
        <v>60</v>
      </c>
      <c r="B265" s="301"/>
      <c r="C265" s="392"/>
      <c r="D265" s="301"/>
      <c r="E265" s="301"/>
      <c r="F265" s="392"/>
      <c r="G265" s="301"/>
      <c r="H265" s="283">
        <f>SUM(H253:H264)</f>
        <v>2730857</v>
      </c>
      <c r="I265" s="304">
        <f>SUM(I253:I264)</f>
        <v>2603889</v>
      </c>
      <c r="J265" s="303">
        <f>(I265-H265)/H265</f>
        <v>-0.0464938295926883</v>
      </c>
      <c r="K265" s="9"/>
    </row>
    <row r="266" spans="1:11" s="144" customFormat="1" ht="12" customHeight="1">
      <c r="A266" s="121" t="s">
        <v>61</v>
      </c>
      <c r="B266" s="9"/>
      <c r="C266" s="112"/>
      <c r="D266" s="9"/>
      <c r="E266" s="118">
        <v>127389</v>
      </c>
      <c r="F266" s="118">
        <v>126299</v>
      </c>
      <c r="G266" s="123">
        <f>(F266-E266)/E266</f>
        <v>-0.008556468768888994</v>
      </c>
      <c r="H266" s="124"/>
      <c r="I266" s="125"/>
      <c r="J266" s="9"/>
      <c r="K266" s="9"/>
    </row>
    <row r="267" spans="1:11" s="144" customFormat="1" ht="12" customHeight="1">
      <c r="A267" s="121" t="s">
        <v>19</v>
      </c>
      <c r="B267" s="9"/>
      <c r="C267" s="112"/>
      <c r="D267" s="9"/>
      <c r="E267" s="137">
        <v>1157.97</v>
      </c>
      <c r="F267" s="118">
        <v>1199.23</v>
      </c>
      <c r="G267" s="123">
        <f>(F267-E267)/E267</f>
        <v>0.03563132032781505</v>
      </c>
      <c r="H267" s="124"/>
      <c r="I267" s="125"/>
      <c r="J267" s="9"/>
      <c r="K267" s="130"/>
    </row>
    <row r="268" spans="1:11" s="144" customFormat="1" ht="12" customHeight="1">
      <c r="A268" s="121"/>
      <c r="B268" s="9"/>
      <c r="C268" s="112"/>
      <c r="D268" s="9"/>
      <c r="E268" s="143"/>
      <c r="F268" s="118"/>
      <c r="G268" s="123"/>
      <c r="H268" s="112"/>
      <c r="I268" s="108"/>
      <c r="J268" s="9"/>
      <c r="K268" s="9"/>
    </row>
    <row r="269" spans="1:11" s="144" customFormat="1" ht="12" customHeight="1">
      <c r="A269" s="121"/>
      <c r="B269" s="104"/>
      <c r="C269" s="108"/>
      <c r="D269" s="104"/>
      <c r="E269" s="104"/>
      <c r="F269" s="108"/>
      <c r="G269" s="104"/>
      <c r="H269" s="125"/>
      <c r="I269" s="125"/>
      <c r="J269" s="123"/>
      <c r="K269" s="9"/>
    </row>
    <row r="270" spans="1:11" s="144" customFormat="1" ht="12" customHeight="1">
      <c r="A270" s="121" t="s">
        <v>18</v>
      </c>
      <c r="B270" s="9"/>
      <c r="C270" s="112"/>
      <c r="D270" s="9"/>
      <c r="E270" s="9"/>
      <c r="F270" s="112"/>
      <c r="G270" s="9"/>
      <c r="H270" s="362">
        <v>0</v>
      </c>
      <c r="I270" s="118">
        <v>0</v>
      </c>
      <c r="J270" s="123">
        <v>0</v>
      </c>
      <c r="K270" s="9"/>
    </row>
    <row r="271" spans="1:11" s="144" customFormat="1" ht="12" customHeight="1">
      <c r="A271" s="121" t="s">
        <v>17</v>
      </c>
      <c r="B271" s="9"/>
      <c r="C271" s="112"/>
      <c r="D271" s="9"/>
      <c r="E271" s="9"/>
      <c r="F271" s="112"/>
      <c r="G271" s="9"/>
      <c r="H271" s="118">
        <v>82</v>
      </c>
      <c r="I271" s="118">
        <v>85</v>
      </c>
      <c r="J271" s="123">
        <f>(I271-H271)/H271</f>
        <v>0.036585365853658534</v>
      </c>
      <c r="K271" s="9"/>
    </row>
    <row r="272" spans="1:11" s="144" customFormat="1" ht="12" customHeight="1">
      <c r="A272" s="121"/>
      <c r="B272" s="9"/>
      <c r="C272" s="112"/>
      <c r="D272" s="9"/>
      <c r="E272" s="9"/>
      <c r="F272" s="112"/>
      <c r="G272" s="9"/>
      <c r="H272" s="118"/>
      <c r="I272" s="118"/>
      <c r="J272" s="123"/>
      <c r="K272" s="9"/>
    </row>
    <row r="273" spans="1:10" s="136" customFormat="1" ht="12" customHeight="1" thickBot="1">
      <c r="A273" s="132"/>
      <c r="C273" s="140"/>
      <c r="F273" s="140"/>
      <c r="H273" s="140"/>
      <c r="I273" s="140"/>
      <c r="J273" s="135"/>
    </row>
    <row r="274" spans="1:10" ht="12" customHeight="1">
      <c r="A274" s="290" t="s">
        <v>5</v>
      </c>
      <c r="B274" s="95" t="s">
        <v>32</v>
      </c>
      <c r="C274" s="372"/>
      <c r="D274" s="97"/>
      <c r="E274" s="95" t="s">
        <v>33</v>
      </c>
      <c r="F274" s="372"/>
      <c r="G274" s="97"/>
      <c r="H274" s="95" t="s">
        <v>34</v>
      </c>
      <c r="I274" s="372"/>
      <c r="J274" s="97"/>
    </row>
    <row r="275" spans="1:11" ht="12" customHeight="1">
      <c r="A275" s="9" t="s">
        <v>35</v>
      </c>
      <c r="B275" s="285" t="s">
        <v>200</v>
      </c>
      <c r="C275" s="308" t="s">
        <v>207</v>
      </c>
      <c r="D275" s="100" t="s">
        <v>67</v>
      </c>
      <c r="E275" s="285" t="str">
        <f>B275</f>
        <v>2018 Certified</v>
      </c>
      <c r="F275" s="308" t="s">
        <v>207</v>
      </c>
      <c r="G275" s="100" t="s">
        <v>67</v>
      </c>
      <c r="H275" s="101" t="str">
        <f>B275</f>
        <v>2018 Certified</v>
      </c>
      <c r="I275" s="384" t="s">
        <v>204</v>
      </c>
      <c r="J275" s="100" t="s">
        <v>67</v>
      </c>
      <c r="K275" s="287" t="s">
        <v>71</v>
      </c>
    </row>
    <row r="276" spans="2:10" ht="12" customHeight="1">
      <c r="B276" s="103"/>
      <c r="C276" s="108"/>
      <c r="D276" s="105"/>
      <c r="E276" s="103"/>
      <c r="F276" s="108"/>
      <c r="G276" s="105"/>
      <c r="H276" s="103"/>
      <c r="I276" s="108"/>
      <c r="J276" s="105"/>
    </row>
    <row r="277" spans="1:11" ht="12" customHeight="1">
      <c r="A277" s="9" t="s">
        <v>36</v>
      </c>
      <c r="B277" s="107">
        <v>0</v>
      </c>
      <c r="C277" s="108">
        <v>0</v>
      </c>
      <c r="D277" s="105"/>
      <c r="E277" s="109">
        <v>76533950</v>
      </c>
      <c r="F277" s="109">
        <v>74886600</v>
      </c>
      <c r="G277" s="110">
        <f>(F277-E277)/E277</f>
        <v>-0.02152443458099314</v>
      </c>
      <c r="H277" s="107">
        <f aca="true" t="shared" si="31" ref="H277:H287">B277+E277</f>
        <v>76533950</v>
      </c>
      <c r="I277" s="108">
        <f aca="true" t="shared" si="32" ref="I277:I287">SUM(C277+F277)</f>
        <v>74886600</v>
      </c>
      <c r="J277" s="110">
        <f aca="true" t="shared" si="33" ref="J277:J285">(I277-H277)/H277</f>
        <v>-0.02152443458099314</v>
      </c>
      <c r="K277" s="291">
        <f>I277/I288</f>
        <v>0.16010183015667817</v>
      </c>
    </row>
    <row r="278" spans="1:11" ht="12" customHeight="1">
      <c r="A278" s="9" t="s">
        <v>37</v>
      </c>
      <c r="B278" s="107">
        <v>0</v>
      </c>
      <c r="C278" s="108">
        <v>0</v>
      </c>
      <c r="D278" s="105"/>
      <c r="E278" s="109">
        <v>1640950</v>
      </c>
      <c r="F278" s="109">
        <v>3217548</v>
      </c>
      <c r="G278" s="110">
        <f>(F278-E278)/E278</f>
        <v>0.9607836923733203</v>
      </c>
      <c r="H278" s="107">
        <f t="shared" si="31"/>
        <v>1640950</v>
      </c>
      <c r="I278" s="108">
        <f t="shared" si="32"/>
        <v>3217548</v>
      </c>
      <c r="J278" s="110">
        <f t="shared" si="33"/>
        <v>0.9607836923733203</v>
      </c>
      <c r="K278" s="291">
        <f>I278/I288</f>
        <v>0.006878871833104447</v>
      </c>
    </row>
    <row r="279" spans="1:11" ht="12" customHeight="1">
      <c r="A279" s="9" t="s">
        <v>38</v>
      </c>
      <c r="B279" s="107">
        <v>0</v>
      </c>
      <c r="C279" s="108">
        <v>0</v>
      </c>
      <c r="D279" s="105"/>
      <c r="E279" s="109">
        <v>3962590</v>
      </c>
      <c r="F279" s="109">
        <v>3673235</v>
      </c>
      <c r="G279" s="110">
        <f>(F279-E279)/E279</f>
        <v>-0.07302168531187936</v>
      </c>
      <c r="H279" s="107">
        <f t="shared" si="31"/>
        <v>3962590</v>
      </c>
      <c r="I279" s="108">
        <f t="shared" si="32"/>
        <v>3673235</v>
      </c>
      <c r="J279" s="110">
        <f t="shared" si="33"/>
        <v>-0.07302168531187936</v>
      </c>
      <c r="K279" s="291">
        <f>I279/I288</f>
        <v>0.007853095828834073</v>
      </c>
    </row>
    <row r="280" spans="1:11" ht="12" customHeight="1">
      <c r="A280" s="9" t="s">
        <v>39</v>
      </c>
      <c r="B280" s="107">
        <v>0</v>
      </c>
      <c r="C280" s="108">
        <v>0</v>
      </c>
      <c r="D280" s="105"/>
      <c r="E280" s="109">
        <v>118139860</v>
      </c>
      <c r="F280" s="109">
        <v>117643850</v>
      </c>
      <c r="G280" s="110">
        <f>(F280-E280)/E280</f>
        <v>-0.0041984982883846314</v>
      </c>
      <c r="H280" s="107">
        <f t="shared" si="31"/>
        <v>118139860</v>
      </c>
      <c r="I280" s="108">
        <f t="shared" si="32"/>
        <v>117643850</v>
      </c>
      <c r="J280" s="110">
        <f t="shared" si="33"/>
        <v>-0.0041984982883846314</v>
      </c>
      <c r="K280" s="291">
        <f>I280/I288</f>
        <v>0.25151356439840666</v>
      </c>
    </row>
    <row r="281" spans="1:11" ht="12" customHeight="1">
      <c r="A281" s="9" t="s">
        <v>40</v>
      </c>
      <c r="B281" s="107"/>
      <c r="C281" s="108">
        <v>32115294</v>
      </c>
      <c r="D281" s="110" t="e">
        <f>(C281-B281)/B281</f>
        <v>#DIV/0!</v>
      </c>
      <c r="E281" s="109">
        <v>22670310</v>
      </c>
      <c r="F281" s="109">
        <v>20630251</v>
      </c>
      <c r="G281" s="110">
        <f>(F281-E281)/E281</f>
        <v>-0.08998813867124004</v>
      </c>
      <c r="H281" s="107">
        <f t="shared" si="31"/>
        <v>22670310</v>
      </c>
      <c r="I281" s="108">
        <f t="shared" si="32"/>
        <v>52745545</v>
      </c>
      <c r="J281" s="110">
        <f t="shared" si="33"/>
        <v>1.3266353658154653</v>
      </c>
      <c r="K281" s="291">
        <f>I281/I288</f>
        <v>0.11276594593841122</v>
      </c>
    </row>
    <row r="282" spans="1:11" ht="12" customHeight="1">
      <c r="A282" s="9" t="s">
        <v>41</v>
      </c>
      <c r="B282" s="152">
        <v>29865030</v>
      </c>
      <c r="C282" s="109">
        <v>26416049</v>
      </c>
      <c r="D282" s="110">
        <f>(C282-B282)/B282</f>
        <v>-0.11548560306150706</v>
      </c>
      <c r="E282" s="109">
        <v>0</v>
      </c>
      <c r="F282" s="109">
        <v>0</v>
      </c>
      <c r="G282" s="110">
        <v>0</v>
      </c>
      <c r="H282" s="107">
        <f t="shared" si="31"/>
        <v>29865030</v>
      </c>
      <c r="I282" s="108">
        <f t="shared" si="32"/>
        <v>26416049</v>
      </c>
      <c r="J282" s="110">
        <f t="shared" si="33"/>
        <v>-0.11548560306150706</v>
      </c>
      <c r="K282" s="291">
        <f>I282/I288</f>
        <v>0.05647549482028144</v>
      </c>
    </row>
    <row r="283" spans="1:11" ht="12" customHeight="1">
      <c r="A283" s="9" t="s">
        <v>42</v>
      </c>
      <c r="B283" s="152">
        <v>49378940</v>
      </c>
      <c r="C283" s="109">
        <v>41950701</v>
      </c>
      <c r="D283" s="110">
        <f>(C283-B283)/B283</f>
        <v>-0.15043334263554461</v>
      </c>
      <c r="E283" s="109">
        <v>458750</v>
      </c>
      <c r="F283" s="109">
        <v>453261</v>
      </c>
      <c r="G283" s="110">
        <f>(F283-E283)/E283</f>
        <v>-0.011965122615803814</v>
      </c>
      <c r="H283" s="107">
        <f t="shared" si="31"/>
        <v>49837690</v>
      </c>
      <c r="I283" s="108">
        <f t="shared" si="32"/>
        <v>42403962</v>
      </c>
      <c r="J283" s="110">
        <f t="shared" si="33"/>
        <v>-0.14915875916399818</v>
      </c>
      <c r="K283" s="291">
        <f>I283/I288</f>
        <v>0.09065643148566278</v>
      </c>
    </row>
    <row r="284" spans="1:11" ht="12" customHeight="1">
      <c r="A284" s="9" t="s">
        <v>43</v>
      </c>
      <c r="B284" s="152">
        <v>180965380</v>
      </c>
      <c r="C284" s="109">
        <v>120407982</v>
      </c>
      <c r="D284" s="110">
        <f>(C284-B284)/B284</f>
        <v>-0.3346352655961046</v>
      </c>
      <c r="E284" s="109">
        <v>6881620</v>
      </c>
      <c r="F284" s="109">
        <v>7947947</v>
      </c>
      <c r="G284" s="110">
        <f>(F284-E284)/E284</f>
        <v>0.1549529035314359</v>
      </c>
      <c r="H284" s="107">
        <f t="shared" si="31"/>
        <v>187847000</v>
      </c>
      <c r="I284" s="108">
        <f t="shared" si="32"/>
        <v>128355929</v>
      </c>
      <c r="J284" s="110">
        <f t="shared" si="33"/>
        <v>-0.3166996065947287</v>
      </c>
      <c r="K284" s="291">
        <f>I284/I288</f>
        <v>0.2744151709966889</v>
      </c>
    </row>
    <row r="285" spans="1:11" ht="12" customHeight="1">
      <c r="A285" s="9" t="s">
        <v>44</v>
      </c>
      <c r="B285" s="107">
        <v>0</v>
      </c>
      <c r="C285" s="108"/>
      <c r="D285" s="110"/>
      <c r="E285" s="109">
        <v>4808350</v>
      </c>
      <c r="F285" s="109">
        <v>4757239</v>
      </c>
      <c r="G285" s="110">
        <f>(F285-E285)/E285</f>
        <v>-0.01062963386608712</v>
      </c>
      <c r="H285" s="107">
        <f t="shared" si="31"/>
        <v>4808350</v>
      </c>
      <c r="I285" s="108">
        <f t="shared" si="32"/>
        <v>4757239</v>
      </c>
      <c r="J285" s="110">
        <f t="shared" si="33"/>
        <v>-0.01062963386608712</v>
      </c>
      <c r="K285" s="291">
        <f>I285/I288</f>
        <v>0.010170613572958653</v>
      </c>
    </row>
    <row r="286" spans="1:11" ht="12" customHeight="1">
      <c r="A286" s="9" t="s">
        <v>45</v>
      </c>
      <c r="B286" s="107">
        <v>0</v>
      </c>
      <c r="C286" s="108">
        <v>0</v>
      </c>
      <c r="D286" s="110"/>
      <c r="E286" s="109">
        <v>0</v>
      </c>
      <c r="F286" s="109">
        <v>0</v>
      </c>
      <c r="G286" s="110">
        <v>0</v>
      </c>
      <c r="H286" s="107">
        <f t="shared" si="31"/>
        <v>0</v>
      </c>
      <c r="I286" s="108">
        <f t="shared" si="32"/>
        <v>0</v>
      </c>
      <c r="J286" s="110">
        <v>0</v>
      </c>
      <c r="K286" s="291">
        <f>I286/I288</f>
        <v>0</v>
      </c>
    </row>
    <row r="287" spans="1:11" ht="12" customHeight="1">
      <c r="A287" s="9" t="s">
        <v>46</v>
      </c>
      <c r="B287" s="107">
        <v>0</v>
      </c>
      <c r="C287" s="108">
        <v>0</v>
      </c>
      <c r="D287" s="110"/>
      <c r="E287" s="109">
        <v>14185950</v>
      </c>
      <c r="F287" s="109">
        <v>13643603</v>
      </c>
      <c r="G287" s="110">
        <f>(F287-E287)/E287</f>
        <v>-0.03823127813082663</v>
      </c>
      <c r="H287" s="107">
        <f t="shared" si="31"/>
        <v>14185950</v>
      </c>
      <c r="I287" s="108">
        <f t="shared" si="32"/>
        <v>13643603</v>
      </c>
      <c r="J287" s="110">
        <f>(I287-H287)/H287</f>
        <v>-0.03823127813082663</v>
      </c>
      <c r="K287" s="293">
        <f>I287/I288</f>
        <v>0.029168980968973683</v>
      </c>
    </row>
    <row r="288" spans="1:11" ht="12" customHeight="1" thickBot="1">
      <c r="A288" s="294" t="s">
        <v>47</v>
      </c>
      <c r="B288" s="295">
        <f>SUM(B281:B287)</f>
        <v>260209350</v>
      </c>
      <c r="C288" s="296">
        <f>SUM(C277:C287)</f>
        <v>220890026</v>
      </c>
      <c r="D288" s="297">
        <f>(C288-B288)/B288</f>
        <v>-0.151106499439778</v>
      </c>
      <c r="E288" s="295">
        <f>SUM(E277:E287)</f>
        <v>249282330</v>
      </c>
      <c r="F288" s="296">
        <f>SUM(F277:F287)</f>
        <v>246853534</v>
      </c>
      <c r="G288" s="297">
        <f>(F288-E288)/E288</f>
        <v>-0.009743153475819968</v>
      </c>
      <c r="H288" s="314">
        <f>SUM(H277:H287)</f>
        <v>509491680</v>
      </c>
      <c r="I288" s="315">
        <f>SUM(I277:I287)</f>
        <v>467743560</v>
      </c>
      <c r="J288" s="297">
        <f>(I288-H288)/H288</f>
        <v>-0.08194072963075667</v>
      </c>
      <c r="K288" s="117">
        <f>SUM(K277:K287)</f>
        <v>1</v>
      </c>
    </row>
    <row r="289" spans="1:10" ht="12" customHeight="1">
      <c r="A289" s="113" t="str">
        <f>A17</f>
        <v>Less Minimum Value Loss</v>
      </c>
      <c r="H289" s="112">
        <v>0</v>
      </c>
      <c r="I289" s="118">
        <v>0</v>
      </c>
      <c r="J289" s="126">
        <v>0</v>
      </c>
    </row>
    <row r="290" spans="1:10" ht="12" customHeight="1">
      <c r="A290" s="113" t="s">
        <v>174</v>
      </c>
      <c r="H290" s="118">
        <v>-222540</v>
      </c>
      <c r="I290" s="118">
        <v>-127990</v>
      </c>
      <c r="J290" s="126">
        <f>(I290-H290)/H290</f>
        <v>-0.42486743956142714</v>
      </c>
    </row>
    <row r="291" spans="1:10" ht="12" customHeight="1">
      <c r="A291" s="113" t="s">
        <v>49</v>
      </c>
      <c r="H291" s="118">
        <v>-43868200</v>
      </c>
      <c r="I291" s="118">
        <v>-46041730</v>
      </c>
      <c r="J291" s="126">
        <f>(I291-H291)/H291</f>
        <v>0.04954682435112451</v>
      </c>
    </row>
    <row r="292" spans="1:10" ht="12" customHeight="1">
      <c r="A292" s="294" t="s">
        <v>50</v>
      </c>
      <c r="B292" s="301"/>
      <c r="C292" s="392"/>
      <c r="D292" s="301"/>
      <c r="E292" s="301"/>
      <c r="F292" s="392"/>
      <c r="G292" s="301"/>
      <c r="H292" s="283">
        <f>SUM(H288:H291)</f>
        <v>465400940</v>
      </c>
      <c r="I292" s="304">
        <f>SUM(I288:I291)</f>
        <v>421573840</v>
      </c>
      <c r="J292" s="303">
        <f>(I292-H292)/H292</f>
        <v>-0.09417063059649171</v>
      </c>
    </row>
    <row r="293" spans="1:10" ht="12" customHeight="1">
      <c r="A293" s="113" t="s">
        <v>127</v>
      </c>
      <c r="H293" s="120">
        <v>-251070</v>
      </c>
      <c r="I293" s="120">
        <v>-263730</v>
      </c>
      <c r="J293" s="117">
        <f>(I293-H293)/H293</f>
        <v>0.05042418449038117</v>
      </c>
    </row>
    <row r="294" spans="1:10" ht="12" customHeight="1">
      <c r="A294" s="113" t="s">
        <v>78</v>
      </c>
      <c r="H294" s="120">
        <v>-137350</v>
      </c>
      <c r="I294" s="120">
        <v>-137350</v>
      </c>
      <c r="J294" s="117">
        <v>0</v>
      </c>
    </row>
    <row r="295" spans="1:10" ht="12" customHeight="1">
      <c r="A295" s="113" t="s">
        <v>128</v>
      </c>
      <c r="H295" s="120">
        <v>0</v>
      </c>
      <c r="I295" s="120">
        <v>0</v>
      </c>
      <c r="J295" s="117">
        <v>0</v>
      </c>
    </row>
    <row r="296" spans="1:10" ht="12" customHeight="1">
      <c r="A296" s="113" t="s">
        <v>157</v>
      </c>
      <c r="H296" s="118">
        <v>-14460670</v>
      </c>
      <c r="I296" s="118">
        <v>-14533940</v>
      </c>
      <c r="J296" s="117">
        <f aca="true" t="shared" si="34" ref="J296:J301">(I296-H296)/H296</f>
        <v>0.0050668468335146296</v>
      </c>
    </row>
    <row r="297" spans="1:10" ht="12" customHeight="1">
      <c r="A297" s="113" t="s">
        <v>53</v>
      </c>
      <c r="H297" s="118">
        <v>-21996747</v>
      </c>
      <c r="I297" s="118">
        <v>-21216587</v>
      </c>
      <c r="J297" s="117">
        <f t="shared" si="34"/>
        <v>-0.03546706247064623</v>
      </c>
    </row>
    <row r="298" spans="1:10" ht="12" customHeight="1">
      <c r="A298" s="113" t="s">
        <v>54</v>
      </c>
      <c r="H298" s="118">
        <v>-3118785</v>
      </c>
      <c r="I298" s="118">
        <v>-3160783</v>
      </c>
      <c r="J298" s="117">
        <f t="shared" si="34"/>
        <v>0.013466141462139904</v>
      </c>
    </row>
    <row r="299" spans="1:10" ht="12" customHeight="1">
      <c r="A299" s="113" t="s">
        <v>55</v>
      </c>
      <c r="H299" s="118">
        <v>-330743</v>
      </c>
      <c r="I299" s="118">
        <v>-346864</v>
      </c>
      <c r="J299" s="117">
        <f t="shared" si="34"/>
        <v>0.04874177231264154</v>
      </c>
    </row>
    <row r="300" spans="1:10" ht="12" customHeight="1">
      <c r="A300" s="113" t="s">
        <v>56</v>
      </c>
      <c r="H300" s="118">
        <v>-1105313</v>
      </c>
      <c r="I300" s="118">
        <v>-1172967</v>
      </c>
      <c r="J300" s="117">
        <f t="shared" si="34"/>
        <v>0.06120800171535122</v>
      </c>
    </row>
    <row r="301" spans="1:10" ht="12" customHeight="1">
      <c r="A301" s="113" t="s">
        <v>57</v>
      </c>
      <c r="H301" s="118">
        <v>-18304372</v>
      </c>
      <c r="I301" s="118">
        <v>-17818689</v>
      </c>
      <c r="J301" s="117">
        <f t="shared" si="34"/>
        <v>-0.02653371555167257</v>
      </c>
    </row>
    <row r="302" spans="1:10" ht="12" customHeight="1">
      <c r="A302" s="113" t="s">
        <v>58</v>
      </c>
      <c r="H302" s="119">
        <v>0</v>
      </c>
      <c r="I302" s="119">
        <v>0</v>
      </c>
      <c r="J302" s="117">
        <v>0</v>
      </c>
    </row>
    <row r="303" spans="1:10" ht="12" customHeight="1">
      <c r="A303" s="113" t="s">
        <v>59</v>
      </c>
      <c r="H303" s="119">
        <v>0</v>
      </c>
      <c r="I303" s="119">
        <v>0</v>
      </c>
      <c r="J303" s="117">
        <v>0</v>
      </c>
    </row>
    <row r="304" spans="1:10" ht="12" customHeight="1">
      <c r="A304" s="294" t="s">
        <v>60</v>
      </c>
      <c r="B304" s="301"/>
      <c r="C304" s="392"/>
      <c r="D304" s="301"/>
      <c r="E304" s="301"/>
      <c r="F304" s="392"/>
      <c r="G304" s="301"/>
      <c r="H304" s="283">
        <f>SUM(H292:H303)</f>
        <v>405695890</v>
      </c>
      <c r="I304" s="304">
        <f>SUM(I292:I303)</f>
        <v>362922930</v>
      </c>
      <c r="J304" s="303">
        <f>(I304-H304)/H304</f>
        <v>-0.10543109026813163</v>
      </c>
    </row>
    <row r="305" spans="1:9" ht="12" customHeight="1">
      <c r="A305" s="121" t="s">
        <v>61</v>
      </c>
      <c r="E305" s="118">
        <v>17789753</v>
      </c>
      <c r="F305" s="112">
        <v>18047111</v>
      </c>
      <c r="G305" s="123">
        <f>(F305-E305)/E305</f>
        <v>0.014466642679074859</v>
      </c>
      <c r="H305" s="124"/>
      <c r="I305" s="125"/>
    </row>
    <row r="306" spans="1:9" ht="12" customHeight="1">
      <c r="A306" s="121" t="s">
        <v>19</v>
      </c>
      <c r="E306" s="137">
        <v>168985.59</v>
      </c>
      <c r="F306" s="393">
        <v>173044.95</v>
      </c>
      <c r="G306" s="123">
        <f>(F306-E306)/E306</f>
        <v>0.02402192991721966</v>
      </c>
      <c r="H306" s="124"/>
      <c r="I306" s="125"/>
    </row>
    <row r="307" spans="1:9" ht="12" customHeight="1">
      <c r="A307" s="121" t="s">
        <v>185</v>
      </c>
      <c r="E307" s="9">
        <v>1.4223</v>
      </c>
      <c r="F307" s="138">
        <v>1.59858</v>
      </c>
      <c r="G307" s="123">
        <f>(F307-E307)/E307</f>
        <v>0.1239400970259439</v>
      </c>
      <c r="H307" s="112"/>
      <c r="I307" s="108"/>
    </row>
    <row r="308" spans="1:10" ht="12" customHeight="1">
      <c r="A308" s="121" t="s">
        <v>62</v>
      </c>
      <c r="B308" s="104"/>
      <c r="C308" s="108"/>
      <c r="D308" s="104"/>
      <c r="E308" s="104"/>
      <c r="F308" s="108"/>
      <c r="G308" s="104"/>
      <c r="H308" s="318">
        <v>5686175</v>
      </c>
      <c r="I308" s="125">
        <f>(I304-F305)*F307/100+F306</f>
        <v>5686160.8173702005</v>
      </c>
      <c r="J308" s="123">
        <f>(I308-H308)/H308</f>
        <v>-2.494230268936553E-06</v>
      </c>
    </row>
    <row r="309" spans="1:10" ht="12" customHeight="1">
      <c r="A309" s="121" t="s">
        <v>18</v>
      </c>
      <c r="H309" s="112">
        <v>2042715</v>
      </c>
      <c r="I309" s="112">
        <v>1431389</v>
      </c>
      <c r="J309" s="123">
        <f>(I309-H309)/H309</f>
        <v>-0.2992713129340118</v>
      </c>
    </row>
    <row r="310" spans="1:10" ht="12" customHeight="1">
      <c r="A310" s="121" t="s">
        <v>17</v>
      </c>
      <c r="H310" s="112">
        <v>19185</v>
      </c>
      <c r="I310" s="112">
        <v>19261</v>
      </c>
      <c r="J310" s="123">
        <f>(I310-H310)/H310</f>
        <v>0.003961428199113891</v>
      </c>
    </row>
    <row r="311" spans="1:10" ht="12" customHeight="1">
      <c r="A311" s="121"/>
      <c r="H311" s="118"/>
      <c r="J311" s="123"/>
    </row>
    <row r="312" spans="1:10" s="136" customFormat="1" ht="12" customHeight="1" thickBot="1">
      <c r="A312" s="132"/>
      <c r="C312" s="140"/>
      <c r="F312" s="140"/>
      <c r="H312" s="140"/>
      <c r="I312" s="140"/>
      <c r="J312" s="135"/>
    </row>
    <row r="313" spans="1:10" ht="12" customHeight="1">
      <c r="A313" s="290" t="s">
        <v>8</v>
      </c>
      <c r="B313" s="95" t="s">
        <v>32</v>
      </c>
      <c r="C313" s="372"/>
      <c r="D313" s="97"/>
      <c r="E313" s="95" t="s">
        <v>33</v>
      </c>
      <c r="F313" s="372"/>
      <c r="G313" s="97"/>
      <c r="H313" s="98" t="s">
        <v>34</v>
      </c>
      <c r="I313" s="372"/>
      <c r="J313" s="97"/>
    </row>
    <row r="314" spans="1:11" ht="12" customHeight="1">
      <c r="A314" s="9" t="s">
        <v>35</v>
      </c>
      <c r="B314" s="285" t="s">
        <v>200</v>
      </c>
      <c r="C314" s="308" t="s">
        <v>207</v>
      </c>
      <c r="D314" s="100" t="s">
        <v>67</v>
      </c>
      <c r="E314" s="285" t="str">
        <f>B314</f>
        <v>2018 Certified</v>
      </c>
      <c r="F314" s="308" t="s">
        <v>207</v>
      </c>
      <c r="G314" s="100" t="s">
        <v>67</v>
      </c>
      <c r="H314" s="101" t="str">
        <f>B314</f>
        <v>2018 Certified</v>
      </c>
      <c r="I314" s="384" t="s">
        <v>204</v>
      </c>
      <c r="J314" s="100" t="s">
        <v>67</v>
      </c>
      <c r="K314" s="287" t="s">
        <v>71</v>
      </c>
    </row>
    <row r="315" spans="2:10" ht="12" customHeight="1">
      <c r="B315" s="103"/>
      <c r="C315" s="108"/>
      <c r="D315" s="105"/>
      <c r="E315" s="103"/>
      <c r="F315" s="108"/>
      <c r="G315" s="105"/>
      <c r="H315" s="104"/>
      <c r="I315" s="108"/>
      <c r="J315" s="105"/>
    </row>
    <row r="316" spans="1:11" ht="12" customHeight="1">
      <c r="A316" s="9" t="s">
        <v>36</v>
      </c>
      <c r="B316" s="107">
        <v>0</v>
      </c>
      <c r="C316" s="108">
        <v>0</v>
      </c>
      <c r="D316" s="105"/>
      <c r="E316" s="109">
        <v>1704786820</v>
      </c>
      <c r="F316" s="109">
        <v>1696471558</v>
      </c>
      <c r="G316" s="110">
        <f>(F316-E316)/E316</f>
        <v>-0.004877596367151642</v>
      </c>
      <c r="H316" s="108">
        <f aca="true" t="shared" si="35" ref="H316:H326">B316+E316</f>
        <v>1704786820</v>
      </c>
      <c r="I316" s="108">
        <f aca="true" t="shared" si="36" ref="I316:I326">C316+F316</f>
        <v>1696471558</v>
      </c>
      <c r="J316" s="110">
        <f aca="true" t="shared" si="37" ref="J316:J327">(I316-H316)/H316</f>
        <v>-0.004877596367151642</v>
      </c>
      <c r="K316" s="291">
        <f>I316/I327</f>
        <v>0.2066986193267666</v>
      </c>
    </row>
    <row r="317" spans="1:13" ht="12" customHeight="1">
      <c r="A317" s="9" t="s">
        <v>37</v>
      </c>
      <c r="B317" s="107">
        <v>0</v>
      </c>
      <c r="C317" s="108">
        <v>0</v>
      </c>
      <c r="D317" s="105"/>
      <c r="E317" s="109">
        <v>82704660</v>
      </c>
      <c r="F317" s="109">
        <v>104208458</v>
      </c>
      <c r="G317" s="110">
        <f>(F317-E317)/E317</f>
        <v>0.2600070902897128</v>
      </c>
      <c r="H317" s="108">
        <f t="shared" si="35"/>
        <v>82704660</v>
      </c>
      <c r="I317" s="108">
        <f t="shared" si="36"/>
        <v>104208458</v>
      </c>
      <c r="J317" s="110">
        <f t="shared" si="37"/>
        <v>0.2600070902897128</v>
      </c>
      <c r="K317" s="291">
        <f>I317/I327</f>
        <v>0.01269679075325314</v>
      </c>
      <c r="M317" s="9">
        <v>0</v>
      </c>
    </row>
    <row r="318" spans="1:11" ht="12" customHeight="1">
      <c r="A318" s="9" t="s">
        <v>38</v>
      </c>
      <c r="B318" s="107">
        <v>0</v>
      </c>
      <c r="C318" s="108">
        <v>0</v>
      </c>
      <c r="D318" s="105"/>
      <c r="E318" s="109">
        <v>47566920</v>
      </c>
      <c r="F318" s="109">
        <v>44703042</v>
      </c>
      <c r="G318" s="110">
        <f>(F318-E318)/E318</f>
        <v>-0.06020734577727547</v>
      </c>
      <c r="H318" s="108">
        <f t="shared" si="35"/>
        <v>47566920</v>
      </c>
      <c r="I318" s="108">
        <f t="shared" si="36"/>
        <v>44703042</v>
      </c>
      <c r="J318" s="110">
        <f t="shared" si="37"/>
        <v>-0.06020734577727547</v>
      </c>
      <c r="K318" s="291">
        <f>I318/I327</f>
        <v>0.005446632463440604</v>
      </c>
    </row>
    <row r="319" spans="1:11" ht="12" customHeight="1">
      <c r="A319" s="9" t="s">
        <v>39</v>
      </c>
      <c r="B319" s="107">
        <v>0</v>
      </c>
      <c r="C319" s="108">
        <v>0</v>
      </c>
      <c r="D319" s="105"/>
      <c r="E319" s="109">
        <v>2045208090</v>
      </c>
      <c r="F319" s="109">
        <v>2035523233</v>
      </c>
      <c r="G319" s="110">
        <f>(F319-E319)/E319</f>
        <v>-0.004735389541706732</v>
      </c>
      <c r="H319" s="108">
        <f t="shared" si="35"/>
        <v>2045208090</v>
      </c>
      <c r="I319" s="108">
        <f t="shared" si="36"/>
        <v>2035523233</v>
      </c>
      <c r="J319" s="110">
        <f t="shared" si="37"/>
        <v>-0.004735389541706732</v>
      </c>
      <c r="K319" s="291">
        <f>I319/I327</f>
        <v>0.2480087802737311</v>
      </c>
    </row>
    <row r="320" spans="1:11" ht="12" customHeight="1">
      <c r="A320" s="9" t="s">
        <v>40</v>
      </c>
      <c r="B320" s="107">
        <v>1071050460</v>
      </c>
      <c r="C320" s="108">
        <v>1043618984</v>
      </c>
      <c r="D320" s="110">
        <f>(C320-B320)/B320</f>
        <v>-0.025611749422151407</v>
      </c>
      <c r="E320" s="109">
        <v>393886788</v>
      </c>
      <c r="F320" s="109">
        <v>423730714</v>
      </c>
      <c r="G320" s="110">
        <f>(F320-E320)/E320</f>
        <v>0.07576777619664664</v>
      </c>
      <c r="H320" s="108">
        <f t="shared" si="35"/>
        <v>1464937248</v>
      </c>
      <c r="I320" s="108">
        <f t="shared" si="36"/>
        <v>1467349698</v>
      </c>
      <c r="J320" s="110">
        <f t="shared" si="37"/>
        <v>0.001646794088479618</v>
      </c>
      <c r="K320" s="291">
        <f>I320/I327</f>
        <v>0.17878234103948823</v>
      </c>
    </row>
    <row r="321" spans="1:11" ht="12" customHeight="1">
      <c r="A321" s="9" t="s">
        <v>41</v>
      </c>
      <c r="B321" s="152">
        <v>367058220</v>
      </c>
      <c r="C321" s="109">
        <v>405838028</v>
      </c>
      <c r="D321" s="110">
        <f>(C321-B321)/B321</f>
        <v>0.10565029166217828</v>
      </c>
      <c r="E321" s="109">
        <v>0</v>
      </c>
      <c r="F321" s="109">
        <v>0</v>
      </c>
      <c r="G321" s="110">
        <v>0</v>
      </c>
      <c r="H321" s="108">
        <f t="shared" si="35"/>
        <v>367058220</v>
      </c>
      <c r="I321" s="108">
        <f t="shared" si="36"/>
        <v>405838028</v>
      </c>
      <c r="J321" s="110">
        <f t="shared" si="37"/>
        <v>0.10565029166217828</v>
      </c>
      <c r="K321" s="291">
        <f>I321/I327</f>
        <v>0.04944743085277098</v>
      </c>
    </row>
    <row r="322" spans="1:11" ht="12" customHeight="1">
      <c r="A322" s="9" t="s">
        <v>42</v>
      </c>
      <c r="B322" s="152">
        <v>382095990</v>
      </c>
      <c r="C322" s="109">
        <v>354675134</v>
      </c>
      <c r="D322" s="110">
        <f>(C322-B322)/B322</f>
        <v>-0.07176431241793456</v>
      </c>
      <c r="E322" s="109">
        <v>9999470</v>
      </c>
      <c r="F322" s="109">
        <v>9774777</v>
      </c>
      <c r="G322" s="110">
        <f aca="true" t="shared" si="38" ref="G322:G327">(F322-E322)/E322</f>
        <v>-0.022470490936019608</v>
      </c>
      <c r="H322" s="108">
        <f t="shared" si="35"/>
        <v>392095460</v>
      </c>
      <c r="I322" s="108">
        <f t="shared" si="36"/>
        <v>364449911</v>
      </c>
      <c r="J322" s="110">
        <f t="shared" si="37"/>
        <v>-0.07050718975425015</v>
      </c>
      <c r="K322" s="291">
        <f>I322/I327</f>
        <v>0.04440468987660032</v>
      </c>
    </row>
    <row r="323" spans="1:11" ht="12" customHeight="1">
      <c r="A323" s="9" t="s">
        <v>43</v>
      </c>
      <c r="B323" s="152">
        <v>1305889820</v>
      </c>
      <c r="C323" s="109">
        <v>1267880123</v>
      </c>
      <c r="D323" s="110">
        <f>(C323-B323)/B323</f>
        <v>-0.029106358299048538</v>
      </c>
      <c r="E323" s="109">
        <v>267803030</v>
      </c>
      <c r="F323" s="109">
        <v>274470550</v>
      </c>
      <c r="G323" s="110">
        <f t="shared" si="38"/>
        <v>0.0248971044128963</v>
      </c>
      <c r="H323" s="108">
        <f t="shared" si="35"/>
        <v>1573692850</v>
      </c>
      <c r="I323" s="108">
        <f t="shared" si="36"/>
        <v>1542350673</v>
      </c>
      <c r="J323" s="110">
        <f t="shared" si="37"/>
        <v>-0.019916324205196713</v>
      </c>
      <c r="K323" s="291">
        <f>I323/I327</f>
        <v>0.1879204830304672</v>
      </c>
    </row>
    <row r="324" spans="1:11" ht="12" customHeight="1">
      <c r="A324" s="9" t="s">
        <v>44</v>
      </c>
      <c r="B324" s="107">
        <v>0</v>
      </c>
      <c r="C324" s="108"/>
      <c r="D324" s="110"/>
      <c r="E324" s="109">
        <v>52295490</v>
      </c>
      <c r="F324" s="109">
        <v>51992078</v>
      </c>
      <c r="G324" s="110">
        <f t="shared" si="38"/>
        <v>-0.005801876987862624</v>
      </c>
      <c r="H324" s="108">
        <f t="shared" si="35"/>
        <v>52295490</v>
      </c>
      <c r="I324" s="108">
        <f t="shared" si="36"/>
        <v>51992078</v>
      </c>
      <c r="J324" s="110">
        <f t="shared" si="37"/>
        <v>-0.005801876987862624</v>
      </c>
      <c r="K324" s="291">
        <f>I324/I327</f>
        <v>0.006334730864099495</v>
      </c>
    </row>
    <row r="325" spans="1:11" ht="12" customHeight="1">
      <c r="A325" s="9" t="s">
        <v>45</v>
      </c>
      <c r="B325" s="107">
        <v>0</v>
      </c>
      <c r="C325" s="108">
        <v>0</v>
      </c>
      <c r="D325" s="110"/>
      <c r="E325" s="109">
        <v>22332790</v>
      </c>
      <c r="F325" s="109">
        <v>21298077</v>
      </c>
      <c r="G325" s="110">
        <f t="shared" si="38"/>
        <v>-0.04633156000660912</v>
      </c>
      <c r="H325" s="108">
        <f t="shared" si="35"/>
        <v>22332790</v>
      </c>
      <c r="I325" s="108">
        <f t="shared" si="36"/>
        <v>21298077</v>
      </c>
      <c r="J325" s="110">
        <f t="shared" si="37"/>
        <v>-0.04633156000660912</v>
      </c>
      <c r="K325" s="291">
        <f>I325/I327</f>
        <v>0.0025949642889416267</v>
      </c>
    </row>
    <row r="326" spans="1:11" ht="12" customHeight="1" thickBot="1">
      <c r="A326" s="104" t="s">
        <v>46</v>
      </c>
      <c r="B326" s="107">
        <v>0</v>
      </c>
      <c r="C326" s="108">
        <v>0</v>
      </c>
      <c r="D326" s="110"/>
      <c r="E326" s="109">
        <v>355640630</v>
      </c>
      <c r="F326" s="109">
        <v>473279636</v>
      </c>
      <c r="G326" s="110">
        <f t="shared" si="38"/>
        <v>0.33078055789069993</v>
      </c>
      <c r="H326" s="108">
        <f t="shared" si="35"/>
        <v>355640630</v>
      </c>
      <c r="I326" s="108">
        <f t="shared" si="36"/>
        <v>473279636</v>
      </c>
      <c r="J326" s="110">
        <f t="shared" si="37"/>
        <v>0.33078055789069993</v>
      </c>
      <c r="K326" s="123">
        <f>I326/I327</f>
        <v>0.05766453723044066</v>
      </c>
    </row>
    <row r="327" spans="1:11" s="253" customFormat="1" ht="12" customHeight="1" thickBot="1">
      <c r="A327" s="250" t="s">
        <v>47</v>
      </c>
      <c r="B327" s="259">
        <f>SUM(B316:B326)</f>
        <v>3126094490</v>
      </c>
      <c r="C327" s="260">
        <f>SUM(C316:C326)</f>
        <v>3072012269</v>
      </c>
      <c r="D327" s="256">
        <f>(C327-B327)/B327</f>
        <v>-0.017300251535263093</v>
      </c>
      <c r="E327" s="259">
        <f>SUM(E316:E326)</f>
        <v>4982224688</v>
      </c>
      <c r="F327" s="260">
        <f>SUM(F316:F326)</f>
        <v>5135452123</v>
      </c>
      <c r="G327" s="256">
        <f t="shared" si="38"/>
        <v>0.030754822312421572</v>
      </c>
      <c r="H327" s="254">
        <f>SUM(H316:H326)</f>
        <v>8108319178</v>
      </c>
      <c r="I327" s="255">
        <f>SUM(I316:I326)</f>
        <v>8207464392</v>
      </c>
      <c r="J327" s="346">
        <f t="shared" si="37"/>
        <v>0.01222759141857748</v>
      </c>
      <c r="K327" s="265">
        <f>SUM(K316:K326)</f>
        <v>1</v>
      </c>
    </row>
    <row r="328" spans="1:10" ht="12" customHeight="1">
      <c r="A328" s="113" t="str">
        <f>A17</f>
        <v>Less Minimum Value Loss</v>
      </c>
      <c r="H328" s="112">
        <v>0</v>
      </c>
      <c r="I328" s="118">
        <v>0</v>
      </c>
      <c r="J328" s="117">
        <v>0</v>
      </c>
    </row>
    <row r="329" spans="1:10" ht="12" customHeight="1">
      <c r="A329" s="113" t="s">
        <v>174</v>
      </c>
      <c r="H329" s="118">
        <v>-8559580</v>
      </c>
      <c r="I329" s="118">
        <v>-5437469</v>
      </c>
      <c r="J329" s="117">
        <f aca="true" t="shared" si="39" ref="J329:J335">(I329-H329)/H329</f>
        <v>-0.3647504900941401</v>
      </c>
    </row>
    <row r="330" spans="1:10" ht="12" customHeight="1">
      <c r="A330" s="113" t="s">
        <v>49</v>
      </c>
      <c r="H330" s="118">
        <v>-635315740</v>
      </c>
      <c r="I330" s="118">
        <v>-635971050</v>
      </c>
      <c r="J330" s="117">
        <f t="shared" si="39"/>
        <v>0.0010314713751622146</v>
      </c>
    </row>
    <row r="331" spans="1:10" ht="12" customHeight="1">
      <c r="A331" s="294" t="s">
        <v>50</v>
      </c>
      <c r="B331" s="301"/>
      <c r="C331" s="392"/>
      <c r="D331" s="301"/>
      <c r="E331" s="301"/>
      <c r="F331" s="392"/>
      <c r="G331" s="301"/>
      <c r="H331" s="283">
        <f>SUM(H327:H330)</f>
        <v>7464443858</v>
      </c>
      <c r="I331" s="283">
        <f>SUM(I327:I330)</f>
        <v>7566055873</v>
      </c>
      <c r="J331" s="303">
        <f t="shared" si="39"/>
        <v>0.013612804508014024</v>
      </c>
    </row>
    <row r="332" spans="1:10" ht="12" customHeight="1">
      <c r="A332" s="113" t="s">
        <v>127</v>
      </c>
      <c r="H332" s="119">
        <v>-2173726</v>
      </c>
      <c r="I332" s="119">
        <v>-2745097</v>
      </c>
      <c r="J332" s="117">
        <f t="shared" si="39"/>
        <v>0.2628532758958581</v>
      </c>
    </row>
    <row r="333" spans="1:10" ht="12" customHeight="1">
      <c r="A333" s="113" t="s">
        <v>78</v>
      </c>
      <c r="H333" s="112">
        <v>-315378514</v>
      </c>
      <c r="I333" s="112">
        <v>-314378514</v>
      </c>
      <c r="J333" s="117">
        <f t="shared" si="39"/>
        <v>-0.003170793049015381</v>
      </c>
    </row>
    <row r="334" spans="1:10" ht="12" customHeight="1">
      <c r="A334" s="113" t="s">
        <v>128</v>
      </c>
      <c r="H334" s="112">
        <v>-23171350</v>
      </c>
      <c r="I334" s="112">
        <v>-23171350</v>
      </c>
      <c r="J334" s="117">
        <f t="shared" si="39"/>
        <v>0</v>
      </c>
    </row>
    <row r="335" spans="1:12" ht="12" customHeight="1">
      <c r="A335" s="113" t="s">
        <v>157</v>
      </c>
      <c r="H335" s="112">
        <v>-371913938</v>
      </c>
      <c r="I335" s="112">
        <v>-512563283</v>
      </c>
      <c r="J335" s="117">
        <f t="shared" si="39"/>
        <v>0.3781771281720558</v>
      </c>
      <c r="L335" s="112"/>
    </row>
    <row r="336" spans="1:12" ht="12" customHeight="1">
      <c r="A336" s="113" t="s">
        <v>53</v>
      </c>
      <c r="H336" s="112">
        <v>0</v>
      </c>
      <c r="I336" s="112">
        <v>0</v>
      </c>
      <c r="J336" s="117">
        <v>0</v>
      </c>
      <c r="L336" s="112"/>
    </row>
    <row r="337" spans="1:12" ht="12" customHeight="1">
      <c r="A337" s="113" t="s">
        <v>54</v>
      </c>
      <c r="H337" s="112">
        <v>0</v>
      </c>
      <c r="I337" s="112">
        <v>0</v>
      </c>
      <c r="J337" s="117">
        <v>0</v>
      </c>
      <c r="L337" s="112"/>
    </row>
    <row r="338" spans="1:12" ht="12" customHeight="1">
      <c r="A338" s="113" t="s">
        <v>55</v>
      </c>
      <c r="H338" s="112">
        <v>0</v>
      </c>
      <c r="I338" s="112">
        <v>0</v>
      </c>
      <c r="J338" s="117">
        <v>0</v>
      </c>
      <c r="L338" s="112"/>
    </row>
    <row r="339" spans="1:12" ht="12" customHeight="1">
      <c r="A339" s="113" t="s">
        <v>56</v>
      </c>
      <c r="H339" s="112">
        <v>-32225794</v>
      </c>
      <c r="I339" s="112">
        <v>-34451386</v>
      </c>
      <c r="J339" s="117">
        <f>(I339-H339)/H339</f>
        <v>0.06906244109920147</v>
      </c>
      <c r="L339" s="112"/>
    </row>
    <row r="340" spans="1:12" ht="12" customHeight="1">
      <c r="A340" s="113" t="s">
        <v>57</v>
      </c>
      <c r="H340" s="112">
        <v>-423730549</v>
      </c>
      <c r="I340" s="112">
        <v>-428745319</v>
      </c>
      <c r="J340" s="117">
        <f>(I340-H340)/H340</f>
        <v>0.011834808728883978</v>
      </c>
      <c r="L340" s="112"/>
    </row>
    <row r="341" spans="1:12" ht="12" customHeight="1">
      <c r="A341" s="113" t="s">
        <v>58</v>
      </c>
      <c r="H341" s="112">
        <v>-41816407</v>
      </c>
      <c r="I341" s="112">
        <v>-41918415</v>
      </c>
      <c r="J341" s="117">
        <f>(I341-H341)/H341</f>
        <v>0.0024394252715208174</v>
      </c>
      <c r="L341" s="112"/>
    </row>
    <row r="342" spans="1:12" ht="12" customHeight="1">
      <c r="A342" s="113" t="s">
        <v>59</v>
      </c>
      <c r="H342" s="119">
        <v>0</v>
      </c>
      <c r="I342" s="119">
        <v>0</v>
      </c>
      <c r="J342" s="117">
        <v>0</v>
      </c>
      <c r="L342" s="112"/>
    </row>
    <row r="343" spans="1:12" ht="12" customHeight="1">
      <c r="A343" s="294" t="s">
        <v>60</v>
      </c>
      <c r="B343" s="301"/>
      <c r="C343" s="392"/>
      <c r="D343" s="301"/>
      <c r="E343" s="301"/>
      <c r="F343" s="392"/>
      <c r="G343" s="301"/>
      <c r="H343" s="283">
        <f>SUM(H331:H342)</f>
        <v>6254033580</v>
      </c>
      <c r="I343" s="302">
        <f>SUM(I331:I342)</f>
        <v>6208082509</v>
      </c>
      <c r="J343" s="303">
        <f>(I343-H343)/H343</f>
        <v>-0.007347429528832175</v>
      </c>
      <c r="L343" s="112"/>
    </row>
    <row r="344" spans="1:12" ht="12" customHeight="1">
      <c r="A344" s="9" t="s">
        <v>61</v>
      </c>
      <c r="E344" s="112">
        <v>517472744</v>
      </c>
      <c r="F344" s="112">
        <v>539235879</v>
      </c>
      <c r="G344" s="123">
        <f>(F344-E344)/E344</f>
        <v>0.04205658221102366</v>
      </c>
      <c r="H344" s="124"/>
      <c r="I344" s="125"/>
      <c r="J344" s="146"/>
      <c r="L344" s="112"/>
    </row>
    <row r="345" spans="1:12" ht="12" customHeight="1">
      <c r="A345" s="9" t="s">
        <v>19</v>
      </c>
      <c r="B345" s="104"/>
      <c r="C345" s="108"/>
      <c r="D345" s="104"/>
      <c r="E345" s="236">
        <v>1563168.68</v>
      </c>
      <c r="F345" s="393">
        <v>1630114.28</v>
      </c>
      <c r="G345" s="123">
        <f>(F345-E345)/E345</f>
        <v>0.04282685602426482</v>
      </c>
      <c r="H345" s="124"/>
      <c r="I345" s="125"/>
      <c r="J345" s="146"/>
      <c r="K345" s="130"/>
      <c r="L345" s="112"/>
    </row>
    <row r="346" spans="1:12" ht="12" customHeight="1">
      <c r="A346" s="121" t="s">
        <v>185</v>
      </c>
      <c r="E346" s="9">
        <v>0.3489</v>
      </c>
      <c r="F346" s="143">
        <v>0.341868</v>
      </c>
      <c r="G346" s="123">
        <f>(F346-E346)/E346</f>
        <v>-0.02015477214101457</v>
      </c>
      <c r="H346" s="147"/>
      <c r="I346" s="108"/>
      <c r="J346" s="146"/>
      <c r="K346" s="130"/>
      <c r="L346" s="112"/>
    </row>
    <row r="347" spans="1:12" ht="12" customHeight="1">
      <c r="A347" s="121" t="s">
        <v>62</v>
      </c>
      <c r="H347" s="318">
        <v>21010106.52</v>
      </c>
      <c r="I347" s="125">
        <f>(I343-F344)*F346/100+F345</f>
        <v>21010086.8770484</v>
      </c>
      <c r="J347" s="123">
        <f>(I347-H347)/H347</f>
        <v>-9.349287011731715E-07</v>
      </c>
      <c r="K347" s="146"/>
      <c r="L347" s="112"/>
    </row>
    <row r="348" spans="1:12" ht="12" customHeight="1">
      <c r="A348" s="121" t="s">
        <v>18</v>
      </c>
      <c r="H348" s="118">
        <v>59020876</v>
      </c>
      <c r="I348" s="112">
        <v>42897400</v>
      </c>
      <c r="J348" s="123">
        <f>(I348-H348)/H348</f>
        <v>-0.27318259390118166</v>
      </c>
      <c r="K348" s="146"/>
      <c r="L348" s="149"/>
    </row>
    <row r="349" spans="1:12" ht="12" customHeight="1">
      <c r="A349" s="121" t="s">
        <v>17</v>
      </c>
      <c r="H349" s="112">
        <v>201209</v>
      </c>
      <c r="I349" s="112">
        <v>203297</v>
      </c>
      <c r="J349" s="123">
        <f>(I349-H349)/H349</f>
        <v>0.010377269406438083</v>
      </c>
      <c r="K349" s="146"/>
      <c r="L349" s="149"/>
    </row>
    <row r="350" spans="1:12" ht="12" customHeight="1">
      <c r="A350" s="121"/>
      <c r="H350" s="118"/>
      <c r="J350" s="123"/>
      <c r="K350" s="146"/>
      <c r="L350" s="149"/>
    </row>
    <row r="351" spans="1:12" s="136" customFormat="1" ht="12" customHeight="1" thickBot="1">
      <c r="A351" s="132"/>
      <c r="C351" s="140"/>
      <c r="F351" s="140"/>
      <c r="H351" s="140"/>
      <c r="I351" s="140"/>
      <c r="J351" s="135"/>
      <c r="K351" s="150"/>
      <c r="L351" s="151"/>
    </row>
    <row r="352" spans="1:12" ht="12" customHeight="1">
      <c r="A352" s="290" t="s">
        <v>6</v>
      </c>
      <c r="B352" s="95" t="s">
        <v>32</v>
      </c>
      <c r="C352" s="372"/>
      <c r="D352" s="97"/>
      <c r="E352" s="95" t="s">
        <v>33</v>
      </c>
      <c r="F352" s="372"/>
      <c r="G352" s="97"/>
      <c r="H352" s="98" t="s">
        <v>34</v>
      </c>
      <c r="I352" s="372"/>
      <c r="J352" s="97"/>
      <c r="L352" s="112"/>
    </row>
    <row r="353" spans="1:11" ht="12" customHeight="1">
      <c r="A353" s="9" t="s">
        <v>35</v>
      </c>
      <c r="B353" s="285" t="s">
        <v>200</v>
      </c>
      <c r="C353" s="308" t="s">
        <v>207</v>
      </c>
      <c r="D353" s="100" t="s">
        <v>67</v>
      </c>
      <c r="E353" s="285" t="str">
        <f>B353</f>
        <v>2018 Certified</v>
      </c>
      <c r="F353" s="308" t="s">
        <v>207</v>
      </c>
      <c r="G353" s="100" t="s">
        <v>67</v>
      </c>
      <c r="H353" s="101" t="str">
        <f>B353</f>
        <v>2018 Certified</v>
      </c>
      <c r="I353" s="384" t="s">
        <v>204</v>
      </c>
      <c r="J353" s="100" t="s">
        <v>67</v>
      </c>
      <c r="K353" s="287" t="s">
        <v>71</v>
      </c>
    </row>
    <row r="354" spans="2:12" ht="12" customHeight="1">
      <c r="B354" s="103"/>
      <c r="C354" s="108"/>
      <c r="D354" s="105"/>
      <c r="E354" s="103"/>
      <c r="F354" s="108"/>
      <c r="G354" s="104"/>
      <c r="H354" s="103"/>
      <c r="I354" s="108"/>
      <c r="J354" s="105"/>
      <c r="L354" s="112"/>
    </row>
    <row r="355" spans="1:11" ht="12" customHeight="1">
      <c r="A355" s="9" t="s">
        <v>36</v>
      </c>
      <c r="B355" s="107">
        <v>0</v>
      </c>
      <c r="C355" s="108">
        <v>0</v>
      </c>
      <c r="D355" s="105"/>
      <c r="E355" s="109">
        <v>654632490</v>
      </c>
      <c r="F355" s="109">
        <v>644895411</v>
      </c>
      <c r="G355" s="126">
        <f>(F355-E355)/E355</f>
        <v>-0.01487411509318763</v>
      </c>
      <c r="H355" s="107">
        <f aca="true" t="shared" si="40" ref="H355:H365">B355+E355</f>
        <v>654632490</v>
      </c>
      <c r="I355" s="108">
        <f aca="true" t="shared" si="41" ref="I355:I365">C355+F355</f>
        <v>644895411</v>
      </c>
      <c r="J355" s="110">
        <f aca="true" t="shared" si="42" ref="J355:J366">(I355-H355)/H355</f>
        <v>-0.01487411509318763</v>
      </c>
      <c r="K355" s="291">
        <f>I355/I366</f>
        <v>0.4302020489820198</v>
      </c>
    </row>
    <row r="356" spans="1:11" ht="12" customHeight="1">
      <c r="A356" s="9" t="s">
        <v>37</v>
      </c>
      <c r="B356" s="107">
        <v>0</v>
      </c>
      <c r="C356" s="108">
        <v>0</v>
      </c>
      <c r="D356" s="105"/>
      <c r="E356" s="109">
        <v>45595840</v>
      </c>
      <c r="F356" s="109">
        <v>63099528</v>
      </c>
      <c r="G356" s="126">
        <f>(F356-E356)/E356</f>
        <v>0.3838878283632893</v>
      </c>
      <c r="H356" s="107">
        <f t="shared" si="40"/>
        <v>45595840</v>
      </c>
      <c r="I356" s="108">
        <f t="shared" si="41"/>
        <v>63099528</v>
      </c>
      <c r="J356" s="110">
        <f t="shared" si="42"/>
        <v>0.3838878283632893</v>
      </c>
      <c r="K356" s="291">
        <f>I356/I366</f>
        <v>0.04209294371207478</v>
      </c>
    </row>
    <row r="357" spans="1:11" ht="12" customHeight="1">
      <c r="A357" s="9" t="s">
        <v>38</v>
      </c>
      <c r="B357" s="107">
        <v>0</v>
      </c>
      <c r="C357" s="108">
        <v>0</v>
      </c>
      <c r="D357" s="105"/>
      <c r="E357" s="109">
        <v>21169050</v>
      </c>
      <c r="F357" s="109">
        <v>20296814</v>
      </c>
      <c r="G357" s="126">
        <f>(F357-E357)/E357</f>
        <v>-0.04120336056648739</v>
      </c>
      <c r="H357" s="107">
        <f t="shared" si="40"/>
        <v>21169050</v>
      </c>
      <c r="I357" s="108">
        <f t="shared" si="41"/>
        <v>20296814</v>
      </c>
      <c r="J357" s="110">
        <f t="shared" si="42"/>
        <v>-0.04120336056648739</v>
      </c>
      <c r="K357" s="291">
        <f>I357/I366</f>
        <v>0.013539762916078411</v>
      </c>
    </row>
    <row r="358" spans="1:11" ht="12" customHeight="1">
      <c r="A358" s="9" t="s">
        <v>39</v>
      </c>
      <c r="B358" s="107">
        <v>0</v>
      </c>
      <c r="C358" s="108">
        <v>0</v>
      </c>
      <c r="D358" s="105"/>
      <c r="E358" s="109">
        <v>16341030</v>
      </c>
      <c r="F358" s="109">
        <v>16503813</v>
      </c>
      <c r="G358" s="126">
        <f>(F358-E358)/E358</f>
        <v>0.009961611966932318</v>
      </c>
      <c r="H358" s="107">
        <f t="shared" si="40"/>
        <v>16341030</v>
      </c>
      <c r="I358" s="108">
        <f t="shared" si="41"/>
        <v>16503813</v>
      </c>
      <c r="J358" s="110">
        <f t="shared" si="42"/>
        <v>0.009961611966932318</v>
      </c>
      <c r="K358" s="291">
        <f>I358/I366</f>
        <v>0.011009497117690135</v>
      </c>
    </row>
    <row r="359" spans="1:11" ht="12" customHeight="1">
      <c r="A359" s="9" t="s">
        <v>40</v>
      </c>
      <c r="B359" s="107">
        <v>12926090</v>
      </c>
      <c r="C359" s="108">
        <v>14703047</v>
      </c>
      <c r="D359" s="110">
        <f>(C359-B359)/B359</f>
        <v>0.1374705730812643</v>
      </c>
      <c r="E359" s="109">
        <v>203623818</v>
      </c>
      <c r="F359" s="109">
        <v>197515103</v>
      </c>
      <c r="G359" s="126">
        <f>(F359-E359)/E359</f>
        <v>-0.030000002259067748</v>
      </c>
      <c r="H359" s="107">
        <f t="shared" si="40"/>
        <v>216549908</v>
      </c>
      <c r="I359" s="108">
        <f t="shared" si="41"/>
        <v>212218150</v>
      </c>
      <c r="J359" s="110">
        <f t="shared" si="42"/>
        <v>-0.020003508844713986</v>
      </c>
      <c r="K359" s="291">
        <f>I359/I366</f>
        <v>0.141568200678627</v>
      </c>
    </row>
    <row r="360" spans="1:11" ht="12" customHeight="1">
      <c r="A360" s="9" t="s">
        <v>41</v>
      </c>
      <c r="B360" s="152">
        <v>5554140</v>
      </c>
      <c r="C360" s="109">
        <v>4819057</v>
      </c>
      <c r="D360" s="110">
        <f>(C360-B360)/B360</f>
        <v>-0.1323486624391895</v>
      </c>
      <c r="E360" s="109">
        <v>0</v>
      </c>
      <c r="F360" s="109">
        <v>0</v>
      </c>
      <c r="G360" s="126">
        <v>0</v>
      </c>
      <c r="H360" s="107">
        <f t="shared" si="40"/>
        <v>5554140</v>
      </c>
      <c r="I360" s="108">
        <f t="shared" si="41"/>
        <v>4819057</v>
      </c>
      <c r="J360" s="110">
        <f t="shared" si="42"/>
        <v>-0.1323486624391895</v>
      </c>
      <c r="K360" s="291">
        <f>I360/I366</f>
        <v>0.0032147355372655075</v>
      </c>
    </row>
    <row r="361" spans="1:11" ht="12" customHeight="1">
      <c r="A361" s="9" t="s">
        <v>42</v>
      </c>
      <c r="B361" s="152">
        <v>37185690</v>
      </c>
      <c r="C361" s="109">
        <v>34034390</v>
      </c>
      <c r="D361" s="110">
        <f>(C361-B361)/B361</f>
        <v>-0.0847449650658627</v>
      </c>
      <c r="E361" s="109">
        <v>1310240</v>
      </c>
      <c r="F361" s="109">
        <v>1434194</v>
      </c>
      <c r="G361" s="126">
        <f aca="true" t="shared" si="43" ref="G361:G366">(F361-E361)/E361</f>
        <v>0.09460404200757114</v>
      </c>
      <c r="H361" s="107">
        <f t="shared" si="40"/>
        <v>38495930</v>
      </c>
      <c r="I361" s="108">
        <f t="shared" si="41"/>
        <v>35468584</v>
      </c>
      <c r="J361" s="110">
        <f t="shared" si="42"/>
        <v>-0.07864067707936917</v>
      </c>
      <c r="K361" s="291">
        <f>I361/I366</f>
        <v>0.023660670011018087</v>
      </c>
    </row>
    <row r="362" spans="1:11" ht="12" customHeight="1">
      <c r="A362" s="9" t="s">
        <v>43</v>
      </c>
      <c r="B362" s="152">
        <v>67189510</v>
      </c>
      <c r="C362" s="109">
        <v>66685201</v>
      </c>
      <c r="D362" s="110">
        <f>(C362-B362)/B362</f>
        <v>-0.00750576987389847</v>
      </c>
      <c r="E362" s="109">
        <v>81313100</v>
      </c>
      <c r="F362" s="109">
        <v>86182230</v>
      </c>
      <c r="G362" s="126">
        <f t="shared" si="43"/>
        <v>0.05988124914681644</v>
      </c>
      <c r="H362" s="107">
        <f t="shared" si="40"/>
        <v>148502610</v>
      </c>
      <c r="I362" s="108">
        <f t="shared" si="41"/>
        <v>152867431</v>
      </c>
      <c r="J362" s="110">
        <f t="shared" si="42"/>
        <v>0.029392217416246084</v>
      </c>
      <c r="K362" s="291">
        <f>I362/I366</f>
        <v>0.1019760428079981</v>
      </c>
    </row>
    <row r="363" spans="1:11" ht="12" customHeight="1">
      <c r="A363" s="9" t="s">
        <v>44</v>
      </c>
      <c r="B363" s="107">
        <v>0</v>
      </c>
      <c r="C363" s="108"/>
      <c r="D363" s="110"/>
      <c r="E363" s="109">
        <v>1925390</v>
      </c>
      <c r="F363" s="109">
        <v>1764362</v>
      </c>
      <c r="G363" s="126">
        <f t="shared" si="43"/>
        <v>-0.08363396506681763</v>
      </c>
      <c r="H363" s="107">
        <f t="shared" si="40"/>
        <v>1925390</v>
      </c>
      <c r="I363" s="108">
        <f t="shared" si="41"/>
        <v>1764362</v>
      </c>
      <c r="J363" s="110">
        <f t="shared" si="42"/>
        <v>-0.08363396506681763</v>
      </c>
      <c r="K363" s="291">
        <f>I363/I366</f>
        <v>0.0011769848794070802</v>
      </c>
    </row>
    <row r="364" spans="1:11" ht="12" customHeight="1">
      <c r="A364" s="9" t="s">
        <v>45</v>
      </c>
      <c r="B364" s="107">
        <v>0</v>
      </c>
      <c r="C364" s="108">
        <v>0</v>
      </c>
      <c r="D364" s="110"/>
      <c r="E364" s="109">
        <v>11154240</v>
      </c>
      <c r="F364" s="109">
        <v>12416262</v>
      </c>
      <c r="G364" s="126">
        <f t="shared" si="43"/>
        <v>0.11314280488854463</v>
      </c>
      <c r="H364" s="107">
        <f t="shared" si="40"/>
        <v>11154240</v>
      </c>
      <c r="I364" s="108">
        <f t="shared" si="41"/>
        <v>12416262</v>
      </c>
      <c r="J364" s="110">
        <f t="shared" si="42"/>
        <v>0.11314280488854463</v>
      </c>
      <c r="K364" s="291">
        <f>I364/I366</f>
        <v>0.008282740521931843</v>
      </c>
    </row>
    <row r="365" spans="1:11" ht="12" customHeight="1">
      <c r="A365" s="9" t="s">
        <v>46</v>
      </c>
      <c r="B365" s="107">
        <v>0</v>
      </c>
      <c r="C365" s="108">
        <v>0</v>
      </c>
      <c r="D365" s="110"/>
      <c r="E365" s="109">
        <v>214473970</v>
      </c>
      <c r="F365" s="109">
        <v>334702981</v>
      </c>
      <c r="G365" s="126">
        <f t="shared" si="43"/>
        <v>0.5605762368272477</v>
      </c>
      <c r="H365" s="107">
        <f t="shared" si="40"/>
        <v>214473970</v>
      </c>
      <c r="I365" s="108">
        <f t="shared" si="41"/>
        <v>334702981</v>
      </c>
      <c r="J365" s="110">
        <f t="shared" si="42"/>
        <v>0.5605762368272477</v>
      </c>
      <c r="K365" s="293">
        <f>I365/I366</f>
        <v>0.22327637283588928</v>
      </c>
    </row>
    <row r="366" spans="1:11" ht="12" customHeight="1" thickBot="1">
      <c r="A366" s="294" t="s">
        <v>47</v>
      </c>
      <c r="B366" s="295">
        <f>SUM(B355:B365)</f>
        <v>122855430</v>
      </c>
      <c r="C366" s="296">
        <f>SUM(C355:C365)</f>
        <v>120241695</v>
      </c>
      <c r="D366" s="297">
        <f>(C366-B366)/B366</f>
        <v>-0.021274883820763965</v>
      </c>
      <c r="E366" s="295">
        <f>SUM(E355:E365)</f>
        <v>1251539168</v>
      </c>
      <c r="F366" s="296">
        <f>SUM(F355:F365)</f>
        <v>1378810698</v>
      </c>
      <c r="G366" s="319">
        <f t="shared" si="43"/>
        <v>0.10169200713341159</v>
      </c>
      <c r="H366" s="314">
        <f>SUM(H355:H365)</f>
        <v>1374394598</v>
      </c>
      <c r="I366" s="311">
        <f>SUM(I355:I365)</f>
        <v>1499052393</v>
      </c>
      <c r="J366" s="297">
        <f t="shared" si="42"/>
        <v>0.0907001491284965</v>
      </c>
      <c r="K366" s="117">
        <f>SUM(K355:K365)</f>
        <v>1</v>
      </c>
    </row>
    <row r="367" spans="1:10" ht="12" customHeight="1">
      <c r="A367" s="113" t="str">
        <f>A17</f>
        <v>Less Minimum Value Loss</v>
      </c>
      <c r="H367" s="112">
        <v>0</v>
      </c>
      <c r="I367" s="118">
        <v>0</v>
      </c>
      <c r="J367" s="117">
        <v>0</v>
      </c>
    </row>
    <row r="368" spans="1:10" ht="12" customHeight="1">
      <c r="A368" s="113" t="s">
        <v>174</v>
      </c>
      <c r="H368" s="118">
        <v>-1566209</v>
      </c>
      <c r="I368" s="118">
        <v>-1332374</v>
      </c>
      <c r="J368" s="117">
        <f aca="true" t="shared" si="44" ref="J368:J374">(I368-H368)/H368</f>
        <v>-0.14929999763760776</v>
      </c>
    </row>
    <row r="369" spans="1:10" ht="12" customHeight="1">
      <c r="A369" s="113" t="s">
        <v>49</v>
      </c>
      <c r="H369" s="118">
        <v>-10173580</v>
      </c>
      <c r="I369" s="118">
        <v>-10065840</v>
      </c>
      <c r="J369" s="117">
        <f t="shared" si="44"/>
        <v>-0.010590175729684143</v>
      </c>
    </row>
    <row r="370" spans="1:10" ht="12" customHeight="1">
      <c r="A370" s="294" t="s">
        <v>50</v>
      </c>
      <c r="B370" s="301"/>
      <c r="C370" s="392"/>
      <c r="D370" s="301"/>
      <c r="E370" s="301"/>
      <c r="F370" s="392"/>
      <c r="G370" s="301"/>
      <c r="H370" s="283">
        <f>SUM(H366:H369)</f>
        <v>1362654809</v>
      </c>
      <c r="I370" s="302">
        <f>SUM(I366:I369)</f>
        <v>1487654179</v>
      </c>
      <c r="J370" s="303">
        <f t="shared" si="44"/>
        <v>0.091732234146469</v>
      </c>
    </row>
    <row r="371" spans="1:10" ht="12" customHeight="1">
      <c r="A371" s="113" t="s">
        <v>127</v>
      </c>
      <c r="H371" s="120">
        <v>-286358</v>
      </c>
      <c r="I371" s="120">
        <v>-728419</v>
      </c>
      <c r="J371" s="117">
        <f t="shared" si="44"/>
        <v>1.5437354639996088</v>
      </c>
    </row>
    <row r="372" spans="1:10" ht="12" customHeight="1">
      <c r="A372" s="113" t="s">
        <v>78</v>
      </c>
      <c r="H372" s="118">
        <v>-6813914</v>
      </c>
      <c r="I372" s="118">
        <v>-2077725</v>
      </c>
      <c r="J372" s="117">
        <f t="shared" si="44"/>
        <v>-0.6950761339224416</v>
      </c>
    </row>
    <row r="373" spans="1:10" ht="12" customHeight="1">
      <c r="A373" s="113" t="s">
        <v>128</v>
      </c>
      <c r="H373" s="118">
        <v>-613190</v>
      </c>
      <c r="I373" s="118">
        <v>-468830</v>
      </c>
      <c r="J373" s="117">
        <f t="shared" si="44"/>
        <v>-0.23542458291883428</v>
      </c>
    </row>
    <row r="374" spans="1:10" ht="12" customHeight="1">
      <c r="A374" s="113" t="s">
        <v>157</v>
      </c>
      <c r="H374" s="118">
        <v>-218023098</v>
      </c>
      <c r="I374" s="118">
        <v>-348842883</v>
      </c>
      <c r="J374" s="117">
        <f t="shared" si="44"/>
        <v>0.6000271815236751</v>
      </c>
    </row>
    <row r="375" spans="1:10" ht="12" customHeight="1">
      <c r="A375" s="113" t="s">
        <v>53</v>
      </c>
      <c r="H375" s="118">
        <v>0</v>
      </c>
      <c r="I375" s="118">
        <v>0</v>
      </c>
      <c r="J375" s="117">
        <v>0</v>
      </c>
    </row>
    <row r="376" spans="1:10" ht="12" customHeight="1">
      <c r="A376" s="113" t="s">
        <v>54</v>
      </c>
      <c r="H376" s="118">
        <v>0</v>
      </c>
      <c r="I376" s="118">
        <v>0</v>
      </c>
      <c r="J376" s="117">
        <v>0</v>
      </c>
    </row>
    <row r="377" spans="1:10" ht="12" customHeight="1">
      <c r="A377" s="113" t="s">
        <v>55</v>
      </c>
      <c r="H377" s="118">
        <v>0</v>
      </c>
      <c r="I377" s="118">
        <v>0</v>
      </c>
      <c r="J377" s="117">
        <v>0</v>
      </c>
    </row>
    <row r="378" spans="1:10" ht="12" customHeight="1">
      <c r="A378" s="113" t="s">
        <v>56</v>
      </c>
      <c r="H378" s="118">
        <v>-8834254</v>
      </c>
      <c r="I378" s="118">
        <v>-9184162</v>
      </c>
      <c r="J378" s="117">
        <f>(I378-H378)/H378</f>
        <v>0.039608098205009726</v>
      </c>
    </row>
    <row r="379" spans="1:10" ht="12" customHeight="1">
      <c r="A379" s="113" t="s">
        <v>57</v>
      </c>
      <c r="H379" s="118">
        <v>-90600253</v>
      </c>
      <c r="I379" s="118">
        <v>-90341624</v>
      </c>
      <c r="J379" s="117">
        <f>(I379-H379)/H379</f>
        <v>-0.0028546167525602827</v>
      </c>
    </row>
    <row r="380" spans="1:10" ht="12" customHeight="1">
      <c r="A380" s="113" t="s">
        <v>58</v>
      </c>
      <c r="H380" s="118">
        <v>-21777509</v>
      </c>
      <c r="I380" s="118">
        <v>-21548910</v>
      </c>
      <c r="J380" s="117">
        <f>(I380-H380)/H380</f>
        <v>-0.010497022409679637</v>
      </c>
    </row>
    <row r="381" spans="1:10" ht="12" customHeight="1">
      <c r="A381" s="113" t="s">
        <v>59</v>
      </c>
      <c r="H381" s="118">
        <v>-2563201</v>
      </c>
      <c r="I381" s="118">
        <v>-2484876</v>
      </c>
      <c r="J381" s="117">
        <f>(I381-H381)/H381</f>
        <v>-0.030557494320578058</v>
      </c>
    </row>
    <row r="382" spans="1:10" ht="12" customHeight="1">
      <c r="A382" s="294" t="s">
        <v>60</v>
      </c>
      <c r="B382" s="301"/>
      <c r="C382" s="392"/>
      <c r="D382" s="301"/>
      <c r="E382" s="301"/>
      <c r="F382" s="392"/>
      <c r="G382" s="301"/>
      <c r="H382" s="283">
        <f>SUM(H370+H371+H372+H373+H374+H378+H379+H380+H381)</f>
        <v>1013143032</v>
      </c>
      <c r="I382" s="302">
        <f>SUM(I370:I381)</f>
        <v>1011976750</v>
      </c>
      <c r="J382" s="303">
        <f>(I382-H382)/H382</f>
        <v>-0.0011511523675958124</v>
      </c>
    </row>
    <row r="383" spans="1:12" ht="12" customHeight="1">
      <c r="A383" s="121" t="s">
        <v>185</v>
      </c>
      <c r="E383" s="143">
        <v>0.53001</v>
      </c>
      <c r="F383" s="143">
        <v>0.53052</v>
      </c>
      <c r="G383" s="123">
        <f>(F383-E383)/E383</f>
        <v>0.0009622459953585979</v>
      </c>
      <c r="H383" s="124"/>
      <c r="I383" s="125"/>
      <c r="K383" s="146"/>
      <c r="L383" s="146"/>
    </row>
    <row r="384" spans="1:12" ht="12" customHeight="1">
      <c r="A384" s="146"/>
      <c r="B384" s="104"/>
      <c r="C384" s="108"/>
      <c r="D384" s="104"/>
      <c r="E384" s="104"/>
      <c r="F384" s="108"/>
      <c r="G384" s="104"/>
      <c r="H384" s="124"/>
      <c r="I384" s="125"/>
      <c r="J384" s="146"/>
      <c r="K384" s="130"/>
      <c r="L384" s="146"/>
    </row>
    <row r="385" spans="1:10" ht="12" customHeight="1">
      <c r="A385" s="146"/>
      <c r="G385" s="123"/>
      <c r="H385" s="146"/>
      <c r="I385" s="108"/>
      <c r="J385" s="146"/>
    </row>
    <row r="386" spans="1:10" ht="12" customHeight="1">
      <c r="A386" s="121" t="s">
        <v>62</v>
      </c>
      <c r="H386" s="268">
        <v>5369759</v>
      </c>
      <c r="I386" s="268">
        <f>(I382*F383)/100</f>
        <v>5368739.054099999</v>
      </c>
      <c r="J386" s="123">
        <f>(I386-H386)/H386</f>
        <v>-0.00018994258401552693</v>
      </c>
    </row>
    <row r="387" spans="1:10" ht="12" customHeight="1">
      <c r="A387" s="121" t="s">
        <v>18</v>
      </c>
      <c r="H387" s="112">
        <v>4935314</v>
      </c>
      <c r="I387" s="112">
        <v>8332756</v>
      </c>
      <c r="J387" s="123">
        <f>(I387-H387)/H387</f>
        <v>0.6883942946689917</v>
      </c>
    </row>
    <row r="388" spans="1:10" ht="12" customHeight="1">
      <c r="A388" s="121" t="s">
        <v>17</v>
      </c>
      <c r="H388" s="112">
        <v>17825</v>
      </c>
      <c r="I388" s="112">
        <v>17867</v>
      </c>
      <c r="J388" s="123">
        <f>(I388-H388)/H388</f>
        <v>0.002356241234221599</v>
      </c>
    </row>
    <row r="389" spans="1:10" ht="12" customHeight="1">
      <c r="A389" s="121"/>
      <c r="H389" s="118"/>
      <c r="J389" s="123"/>
    </row>
    <row r="390" spans="1:10" s="136" customFormat="1" ht="12" customHeight="1" thickBot="1">
      <c r="A390" s="132"/>
      <c r="C390" s="140"/>
      <c r="F390" s="140"/>
      <c r="H390" s="140"/>
      <c r="I390" s="140"/>
      <c r="J390" s="135"/>
    </row>
    <row r="391" spans="1:10" ht="12" customHeight="1">
      <c r="A391" s="290" t="s">
        <v>65</v>
      </c>
      <c r="B391" s="95" t="s">
        <v>32</v>
      </c>
      <c r="C391" s="372"/>
      <c r="D391" s="97"/>
      <c r="E391" s="95" t="s">
        <v>33</v>
      </c>
      <c r="F391" s="372"/>
      <c r="G391" s="97"/>
      <c r="H391" s="95" t="s">
        <v>34</v>
      </c>
      <c r="I391" s="372"/>
      <c r="J391" s="97"/>
    </row>
    <row r="392" spans="1:11" ht="12" customHeight="1">
      <c r="A392" s="9" t="s">
        <v>35</v>
      </c>
      <c r="B392" s="285" t="s">
        <v>200</v>
      </c>
      <c r="C392" s="308" t="s">
        <v>207</v>
      </c>
      <c r="D392" s="100" t="s">
        <v>67</v>
      </c>
      <c r="E392" s="285" t="str">
        <f>B392</f>
        <v>2018 Certified</v>
      </c>
      <c r="F392" s="308" t="s">
        <v>207</v>
      </c>
      <c r="G392" s="100" t="s">
        <v>67</v>
      </c>
      <c r="H392" s="101" t="str">
        <f>B392</f>
        <v>2018 Certified</v>
      </c>
      <c r="I392" s="384" t="s">
        <v>204</v>
      </c>
      <c r="J392" s="100" t="s">
        <v>67</v>
      </c>
      <c r="K392" s="287" t="s">
        <v>71</v>
      </c>
    </row>
    <row r="393" spans="2:10" ht="12" customHeight="1">
      <c r="B393" s="103"/>
      <c r="C393" s="108"/>
      <c r="D393" s="105"/>
      <c r="E393" s="103"/>
      <c r="F393" s="108"/>
      <c r="G393" s="105"/>
      <c r="H393" s="103"/>
      <c r="I393" s="108"/>
      <c r="J393" s="105"/>
    </row>
    <row r="394" spans="1:11" ht="12" customHeight="1">
      <c r="A394" s="9" t="s">
        <v>36</v>
      </c>
      <c r="B394" s="107">
        <v>0</v>
      </c>
      <c r="C394" s="108">
        <v>0</v>
      </c>
      <c r="D394" s="105"/>
      <c r="E394" s="109">
        <v>175910610</v>
      </c>
      <c r="F394" s="109">
        <v>174876722</v>
      </c>
      <c r="G394" s="110">
        <f>(F394-E394)/E394</f>
        <v>-0.005877348728425193</v>
      </c>
      <c r="H394" s="107">
        <f aca="true" t="shared" si="45" ref="H394:H404">B394+E394</f>
        <v>175910610</v>
      </c>
      <c r="I394" s="108">
        <f aca="true" t="shared" si="46" ref="I394:I404">SUM(C394+F394)</f>
        <v>174876722</v>
      </c>
      <c r="J394" s="110">
        <f>(I394-H394)/H394</f>
        <v>-0.005877348728425193</v>
      </c>
      <c r="K394" s="291">
        <f>I394/I405</f>
        <v>0.6255521823069508</v>
      </c>
    </row>
    <row r="395" spans="1:11" ht="12" customHeight="1">
      <c r="A395" s="9" t="s">
        <v>37</v>
      </c>
      <c r="B395" s="107">
        <v>0</v>
      </c>
      <c r="C395" s="108">
        <v>0</v>
      </c>
      <c r="D395" s="105"/>
      <c r="E395" s="109">
        <v>27041700</v>
      </c>
      <c r="F395" s="109">
        <v>27435849</v>
      </c>
      <c r="G395" s="110">
        <f>(F395-E395)/E395</f>
        <v>0.014575599906810592</v>
      </c>
      <c r="H395" s="107">
        <f t="shared" si="45"/>
        <v>27041700</v>
      </c>
      <c r="I395" s="108">
        <f t="shared" si="46"/>
        <v>27435849</v>
      </c>
      <c r="J395" s="110">
        <f>(I395-H395)/H395</f>
        <v>0.014575599906810592</v>
      </c>
      <c r="K395" s="291">
        <f>I395/I405</f>
        <v>0.09814087900958009</v>
      </c>
    </row>
    <row r="396" spans="1:11" ht="12" customHeight="1">
      <c r="A396" s="9" t="s">
        <v>38</v>
      </c>
      <c r="B396" s="107">
        <v>0</v>
      </c>
      <c r="C396" s="108">
        <v>0</v>
      </c>
      <c r="D396" s="105"/>
      <c r="E396" s="109">
        <v>3316290</v>
      </c>
      <c r="F396" s="109">
        <v>3027108</v>
      </c>
      <c r="G396" s="110">
        <f>(F396-E396)/E396</f>
        <v>-0.0872004559311761</v>
      </c>
      <c r="H396" s="107">
        <f t="shared" si="45"/>
        <v>3316290</v>
      </c>
      <c r="I396" s="108">
        <f t="shared" si="46"/>
        <v>3027108</v>
      </c>
      <c r="J396" s="110">
        <f>(I396-H396)/H396</f>
        <v>-0.0872004559311761</v>
      </c>
      <c r="K396" s="291">
        <f>I396/I405</f>
        <v>0.010828279452074983</v>
      </c>
    </row>
    <row r="397" spans="1:11" ht="12" customHeight="1">
      <c r="A397" s="9" t="s">
        <v>39</v>
      </c>
      <c r="B397" s="107">
        <v>0</v>
      </c>
      <c r="C397" s="108">
        <v>0</v>
      </c>
      <c r="D397" s="105"/>
      <c r="E397" s="109">
        <v>5649430</v>
      </c>
      <c r="F397" s="109">
        <v>5510366</v>
      </c>
      <c r="G397" s="110">
        <f>(F397-E397)/E397</f>
        <v>-0.024615580686901155</v>
      </c>
      <c r="H397" s="107">
        <f t="shared" si="45"/>
        <v>5649430</v>
      </c>
      <c r="I397" s="108">
        <f t="shared" si="46"/>
        <v>5510366</v>
      </c>
      <c r="J397" s="110">
        <f>(I397-H397)/H397</f>
        <v>-0.024615580686901155</v>
      </c>
      <c r="K397" s="291">
        <f>I397/I405</f>
        <v>0.019711151016485906</v>
      </c>
    </row>
    <row r="398" spans="1:11" ht="12" customHeight="1">
      <c r="A398" s="9" t="s">
        <v>40</v>
      </c>
      <c r="B398" s="107">
        <v>0</v>
      </c>
      <c r="C398" s="108">
        <v>0</v>
      </c>
      <c r="D398" s="105"/>
      <c r="E398" s="109">
        <v>17818360</v>
      </c>
      <c r="F398" s="109">
        <v>18949416</v>
      </c>
      <c r="G398" s="110">
        <f>(F398-E398)/E398</f>
        <v>0.06347699788308239</v>
      </c>
      <c r="H398" s="107">
        <f t="shared" si="45"/>
        <v>17818360</v>
      </c>
      <c r="I398" s="108">
        <f t="shared" si="46"/>
        <v>18949416</v>
      </c>
      <c r="J398" s="110">
        <f>(I398-H398)/H398</f>
        <v>0.06347699788308239</v>
      </c>
      <c r="K398" s="291">
        <f>I398/I405</f>
        <v>0.06778402749476428</v>
      </c>
    </row>
    <row r="399" spans="1:11" ht="12" customHeight="1">
      <c r="A399" s="9" t="s">
        <v>41</v>
      </c>
      <c r="B399" s="107">
        <v>0</v>
      </c>
      <c r="C399" s="108">
        <v>0</v>
      </c>
      <c r="D399" s="110"/>
      <c r="E399" s="109">
        <v>0</v>
      </c>
      <c r="F399" s="109">
        <v>0</v>
      </c>
      <c r="G399" s="110">
        <v>0</v>
      </c>
      <c r="H399" s="107">
        <f t="shared" si="45"/>
        <v>0</v>
      </c>
      <c r="I399" s="108">
        <f t="shared" si="46"/>
        <v>0</v>
      </c>
      <c r="J399" s="110">
        <v>0</v>
      </c>
      <c r="K399" s="291">
        <f>I399/I405</f>
        <v>0</v>
      </c>
    </row>
    <row r="400" spans="1:11" ht="12" customHeight="1">
      <c r="A400" s="9" t="s">
        <v>42</v>
      </c>
      <c r="B400" s="107">
        <v>6119540</v>
      </c>
      <c r="C400" s="108">
        <v>4676859</v>
      </c>
      <c r="D400" s="110">
        <f>(C400-B400)/B400</f>
        <v>-0.2357499093069087</v>
      </c>
      <c r="E400" s="109">
        <v>63170</v>
      </c>
      <c r="F400" s="109">
        <v>85282</v>
      </c>
      <c r="G400" s="110">
        <f aca="true" t="shared" si="47" ref="G400:G405">(F400-E400)/E400</f>
        <v>0.3500395757479816</v>
      </c>
      <c r="H400" s="107">
        <f t="shared" si="45"/>
        <v>6182710</v>
      </c>
      <c r="I400" s="108">
        <f t="shared" si="46"/>
        <v>4762141</v>
      </c>
      <c r="J400" s="110">
        <f>(I400-H400)/H400</f>
        <v>-0.22976477952224833</v>
      </c>
      <c r="K400" s="291">
        <f>I400/I405</f>
        <v>0.017034672544945145</v>
      </c>
    </row>
    <row r="401" spans="1:11" ht="12" customHeight="1">
      <c r="A401" s="9" t="s">
        <v>43</v>
      </c>
      <c r="B401" s="152">
        <v>43030</v>
      </c>
      <c r="C401" s="109">
        <v>1290</v>
      </c>
      <c r="D401" s="110">
        <f>(C401-B401)/B401</f>
        <v>-0.970020915640251</v>
      </c>
      <c r="E401" s="109">
        <v>4631440</v>
      </c>
      <c r="F401" s="109">
        <v>4541104</v>
      </c>
      <c r="G401" s="110">
        <f t="shared" si="47"/>
        <v>-0.01950494878482718</v>
      </c>
      <c r="H401" s="107">
        <f t="shared" si="45"/>
        <v>4674470</v>
      </c>
      <c r="I401" s="108">
        <f t="shared" si="46"/>
        <v>4542394</v>
      </c>
      <c r="J401" s="110">
        <f>(I401-H401)/H401</f>
        <v>-0.028254754014893666</v>
      </c>
      <c r="K401" s="291">
        <f>I401/I405</f>
        <v>0.0162486147218496</v>
      </c>
    </row>
    <row r="402" spans="1:11" ht="12" customHeight="1">
      <c r="A402" s="9" t="s">
        <v>44</v>
      </c>
      <c r="B402" s="107">
        <v>0</v>
      </c>
      <c r="C402" s="108">
        <v>0</v>
      </c>
      <c r="D402" s="110"/>
      <c r="E402" s="109">
        <v>455480</v>
      </c>
      <c r="F402" s="109">
        <v>410494</v>
      </c>
      <c r="G402" s="110">
        <f t="shared" si="47"/>
        <v>-0.09876613682269254</v>
      </c>
      <c r="H402" s="107">
        <f t="shared" si="45"/>
        <v>455480</v>
      </c>
      <c r="I402" s="108">
        <f t="shared" si="46"/>
        <v>410494</v>
      </c>
      <c r="J402" s="110">
        <f>(I402-H402)/H402</f>
        <v>-0.09876613682269254</v>
      </c>
      <c r="K402" s="291">
        <f>I402/I405</f>
        <v>0.0014683796367358113</v>
      </c>
    </row>
    <row r="403" spans="1:11" ht="12" customHeight="1">
      <c r="A403" s="9" t="s">
        <v>45</v>
      </c>
      <c r="B403" s="107">
        <v>0</v>
      </c>
      <c r="C403" s="108">
        <v>0</v>
      </c>
      <c r="D403" s="110"/>
      <c r="E403" s="109">
        <v>3705060</v>
      </c>
      <c r="F403" s="109">
        <v>2171801</v>
      </c>
      <c r="G403" s="110">
        <f t="shared" si="47"/>
        <v>-0.4138283860450303</v>
      </c>
      <c r="H403" s="107">
        <f t="shared" si="45"/>
        <v>3705060</v>
      </c>
      <c r="I403" s="108">
        <f t="shared" si="46"/>
        <v>2171801</v>
      </c>
      <c r="J403" s="110">
        <v>0</v>
      </c>
      <c r="K403" s="291">
        <f>I403/I405</f>
        <v>0.007768757554172464</v>
      </c>
    </row>
    <row r="404" spans="1:11" ht="12" customHeight="1">
      <c r="A404" s="9" t="s">
        <v>46</v>
      </c>
      <c r="B404" s="107">
        <v>0</v>
      </c>
      <c r="C404" s="108">
        <v>0</v>
      </c>
      <c r="D404" s="110"/>
      <c r="E404" s="109">
        <v>38655920</v>
      </c>
      <c r="F404" s="109">
        <v>37869479</v>
      </c>
      <c r="G404" s="110">
        <f t="shared" si="47"/>
        <v>-0.020344645787760324</v>
      </c>
      <c r="H404" s="107">
        <f t="shared" si="45"/>
        <v>38655920</v>
      </c>
      <c r="I404" s="108">
        <f t="shared" si="46"/>
        <v>37869479</v>
      </c>
      <c r="J404" s="110">
        <f>(I404-H404)/H404</f>
        <v>-0.020344645787760324</v>
      </c>
      <c r="K404" s="293">
        <f>I404/I405</f>
        <v>0.13546305626244096</v>
      </c>
    </row>
    <row r="405" spans="1:11" ht="12" customHeight="1" thickBot="1">
      <c r="A405" s="294" t="s">
        <v>47</v>
      </c>
      <c r="B405" s="295">
        <f>SUM(B394:B404)</f>
        <v>6162570</v>
      </c>
      <c r="C405" s="296">
        <f>SUM(C394:C404)</f>
        <v>4678149</v>
      </c>
      <c r="D405" s="297">
        <f>(C405-B405)/B405</f>
        <v>-0.2408769393288839</v>
      </c>
      <c r="E405" s="295">
        <f>SUM(E394:E404)</f>
        <v>277247460</v>
      </c>
      <c r="F405" s="296">
        <f>SUM(F394:F404)</f>
        <v>274877621</v>
      </c>
      <c r="G405" s="297">
        <f t="shared" si="47"/>
        <v>-0.00854773926513159</v>
      </c>
      <c r="H405" s="314">
        <f>SUM(H394:H404)</f>
        <v>283410030</v>
      </c>
      <c r="I405" s="311">
        <f>SUM(I394:I404)</f>
        <v>279555770</v>
      </c>
      <c r="J405" s="297">
        <f>(I405-H405)/H405</f>
        <v>-0.013599589259420354</v>
      </c>
      <c r="K405" s="117">
        <f>SUM(K394:K404)</f>
        <v>1.0000000000000002</v>
      </c>
    </row>
    <row r="406" spans="1:10" ht="12" customHeight="1">
      <c r="A406" s="113" t="str">
        <f>A17</f>
        <v>Less Minimum Value Loss</v>
      </c>
      <c r="H406" s="112">
        <v>0</v>
      </c>
      <c r="I406" s="118">
        <v>0</v>
      </c>
      <c r="J406" s="117">
        <v>0</v>
      </c>
    </row>
    <row r="407" spans="1:10" ht="12" customHeight="1">
      <c r="A407" s="113" t="s">
        <v>174</v>
      </c>
      <c r="H407" s="118">
        <v>-297570</v>
      </c>
      <c r="I407" s="118">
        <v>-83420</v>
      </c>
      <c r="J407" s="117">
        <f>(I407-H407)/H407</f>
        <v>-0.7196626003965454</v>
      </c>
    </row>
    <row r="408" spans="1:10" ht="12" customHeight="1">
      <c r="A408" s="113" t="s">
        <v>49</v>
      </c>
      <c r="H408" s="118">
        <v>-1802800</v>
      </c>
      <c r="I408" s="118">
        <v>-1814140</v>
      </c>
      <c r="J408" s="117">
        <f>(I408-H408)/H408</f>
        <v>0.006290215220767695</v>
      </c>
    </row>
    <row r="409" spans="1:10" ht="12" customHeight="1">
      <c r="A409" s="294" t="s">
        <v>50</v>
      </c>
      <c r="B409" s="301"/>
      <c r="C409" s="392"/>
      <c r="D409" s="301"/>
      <c r="E409" s="301"/>
      <c r="F409" s="392"/>
      <c r="G409" s="301"/>
      <c r="H409" s="283">
        <f>SUM(H405:H408)</f>
        <v>281309660</v>
      </c>
      <c r="I409" s="302">
        <f>SUM(I405+I406+I407+I408)</f>
        <v>277658210</v>
      </c>
      <c r="J409" s="303">
        <f>(I409-H409)/H409</f>
        <v>-0.01298017991987904</v>
      </c>
    </row>
    <row r="410" spans="1:10" ht="12" customHeight="1">
      <c r="A410" s="113" t="s">
        <v>127</v>
      </c>
      <c r="H410" s="120">
        <v>-370</v>
      </c>
      <c r="I410" s="120">
        <v>-4280</v>
      </c>
      <c r="J410" s="117">
        <v>0</v>
      </c>
    </row>
    <row r="411" spans="1:10" ht="12" customHeight="1">
      <c r="A411" s="113" t="s">
        <v>78</v>
      </c>
      <c r="H411" s="120">
        <v>0</v>
      </c>
      <c r="I411" s="120">
        <v>0</v>
      </c>
      <c r="J411" s="117">
        <v>0</v>
      </c>
    </row>
    <row r="412" spans="1:10" ht="12" customHeight="1">
      <c r="A412" s="113" t="s">
        <v>128</v>
      </c>
      <c r="H412" s="120">
        <v>0</v>
      </c>
      <c r="I412" s="120">
        <v>0</v>
      </c>
      <c r="J412" s="117">
        <v>0</v>
      </c>
    </row>
    <row r="413" spans="1:10" ht="12" customHeight="1">
      <c r="A413" s="113" t="s">
        <v>157</v>
      </c>
      <c r="H413" s="118">
        <v>-38662490</v>
      </c>
      <c r="I413" s="118">
        <v>-39047270</v>
      </c>
      <c r="J413" s="117">
        <f>(I413-H413)/H413</f>
        <v>0.009952281914589568</v>
      </c>
    </row>
    <row r="414" spans="1:10" ht="12" customHeight="1">
      <c r="A414" s="113" t="s">
        <v>53</v>
      </c>
      <c r="H414" s="118">
        <v>0</v>
      </c>
      <c r="I414" s="118">
        <v>0</v>
      </c>
      <c r="J414" s="117">
        <v>0</v>
      </c>
    </row>
    <row r="415" spans="1:10" ht="12" customHeight="1">
      <c r="A415" s="113" t="s">
        <v>54</v>
      </c>
      <c r="H415" s="118">
        <v>0</v>
      </c>
      <c r="I415" s="118">
        <v>0</v>
      </c>
      <c r="J415" s="117">
        <v>0</v>
      </c>
    </row>
    <row r="416" spans="1:10" ht="12" customHeight="1">
      <c r="A416" s="113" t="s">
        <v>55</v>
      </c>
      <c r="H416" s="118">
        <v>0</v>
      </c>
      <c r="I416" s="118">
        <v>0</v>
      </c>
      <c r="J416" s="117">
        <v>0</v>
      </c>
    </row>
    <row r="417" spans="1:10" ht="12" customHeight="1">
      <c r="A417" s="113" t="s">
        <v>56</v>
      </c>
      <c r="H417" s="118">
        <v>-2172540</v>
      </c>
      <c r="I417" s="118">
        <v>-2789330</v>
      </c>
      <c r="J417" s="117">
        <f>(I417-H417)/H417</f>
        <v>0.28390271295350145</v>
      </c>
    </row>
    <row r="418" spans="1:10" ht="12" customHeight="1">
      <c r="A418" s="113" t="s">
        <v>57</v>
      </c>
      <c r="H418" s="120">
        <v>0</v>
      </c>
      <c r="I418" s="120">
        <v>0</v>
      </c>
      <c r="J418" s="117">
        <v>0</v>
      </c>
    </row>
    <row r="419" spans="1:10" ht="12" customHeight="1">
      <c r="A419" s="113" t="s">
        <v>58</v>
      </c>
      <c r="H419" s="120">
        <v>-1935000</v>
      </c>
      <c r="I419" s="120">
        <v>-1985000</v>
      </c>
      <c r="J419" s="117">
        <f>(I419-H419)/I419</f>
        <v>0.02518891687657431</v>
      </c>
    </row>
    <row r="420" spans="1:10" ht="12" customHeight="1">
      <c r="A420" s="113" t="s">
        <v>59</v>
      </c>
      <c r="H420" s="120">
        <v>-174073</v>
      </c>
      <c r="I420" s="120">
        <v>-154143</v>
      </c>
      <c r="J420" s="117">
        <v>0</v>
      </c>
    </row>
    <row r="421" spans="1:10" ht="12" customHeight="1">
      <c r="A421" s="294" t="s">
        <v>60</v>
      </c>
      <c r="B421" s="301"/>
      <c r="C421" s="392"/>
      <c r="D421" s="301"/>
      <c r="E421" s="301"/>
      <c r="F421" s="392"/>
      <c r="G421" s="301"/>
      <c r="H421" s="283">
        <f>SUM(H409:H420)</f>
        <v>238365187</v>
      </c>
      <c r="I421" s="302">
        <f>SUM(I409:I420)</f>
        <v>233678187</v>
      </c>
      <c r="J421" s="303">
        <f>(I421-H421)/H421</f>
        <v>-0.01966310625720693</v>
      </c>
    </row>
    <row r="422" spans="1:9" ht="12" customHeight="1">
      <c r="A422" s="121" t="s">
        <v>185</v>
      </c>
      <c r="E422" s="9">
        <v>0.39188</v>
      </c>
      <c r="F422" s="138">
        <v>0.39974</v>
      </c>
      <c r="G422" s="123">
        <f>(F422-E422)/E422</f>
        <v>0.020057160355210723</v>
      </c>
      <c r="H422" s="124"/>
      <c r="I422" s="125"/>
    </row>
    <row r="423" spans="1:10" ht="12" customHeight="1">
      <c r="A423" s="146"/>
      <c r="B423" s="104"/>
      <c r="C423" s="108"/>
      <c r="D423" s="104"/>
      <c r="E423" s="104"/>
      <c r="F423" s="108"/>
      <c r="G423" s="123"/>
      <c r="H423" s="124"/>
      <c r="I423" s="125"/>
      <c r="J423" s="146"/>
    </row>
    <row r="424" spans="1:11" ht="12" customHeight="1">
      <c r="A424" s="146"/>
      <c r="G424" s="123"/>
      <c r="H424" s="146"/>
      <c r="I424" s="108"/>
      <c r="J424" s="146"/>
      <c r="K424" s="130"/>
    </row>
    <row r="425" spans="1:10" ht="12" customHeight="1">
      <c r="A425" s="121" t="s">
        <v>62</v>
      </c>
      <c r="H425" s="388">
        <f>(H421*E422)/100</f>
        <v>934105.4948156001</v>
      </c>
      <c r="I425" s="131">
        <f>(I421*F422)/100</f>
        <v>934105.1847138</v>
      </c>
      <c r="J425" s="123">
        <f>(I425-'2019 Certified Values'!H415)/'2019 Certified Values'!H415</f>
        <v>0.04221152184193982</v>
      </c>
    </row>
    <row r="426" spans="1:12" ht="12" customHeight="1">
      <c r="A426" s="121" t="s">
        <v>18</v>
      </c>
      <c r="H426" s="114">
        <v>11027240</v>
      </c>
      <c r="I426" s="131">
        <v>1922110</v>
      </c>
      <c r="J426" s="123">
        <f>(I426-'2019 Certified Values'!H416)/'2019 Certified Values'!H416</f>
        <v>-0.825694371393023</v>
      </c>
      <c r="K426" s="146"/>
      <c r="L426" s="146"/>
    </row>
    <row r="427" spans="1:12" ht="12" customHeight="1">
      <c r="A427" s="121" t="s">
        <v>17</v>
      </c>
      <c r="H427" s="114">
        <v>1878</v>
      </c>
      <c r="I427" s="112">
        <v>1883</v>
      </c>
      <c r="J427" s="123">
        <f>(I427-'2019 Certified Values'!H417)/'2019 Certified Values'!H417</f>
        <v>0.0026624068157614484</v>
      </c>
      <c r="K427" s="146"/>
      <c r="L427" s="146"/>
    </row>
    <row r="428" spans="1:12" ht="12" customHeight="1">
      <c r="A428" s="121"/>
      <c r="H428" s="118"/>
      <c r="J428" s="123"/>
      <c r="K428" s="146"/>
      <c r="L428" s="146"/>
    </row>
    <row r="429" spans="1:12" s="136" customFormat="1" ht="12" customHeight="1" thickBot="1">
      <c r="A429" s="132"/>
      <c r="C429" s="140"/>
      <c r="F429" s="140"/>
      <c r="H429" s="140"/>
      <c r="I429" s="140"/>
      <c r="J429" s="135"/>
      <c r="K429" s="150"/>
      <c r="L429" s="150"/>
    </row>
    <row r="430" spans="1:11" s="144" customFormat="1" ht="12" customHeight="1">
      <c r="A430" s="290" t="s">
        <v>108</v>
      </c>
      <c r="B430" s="95" t="s">
        <v>32</v>
      </c>
      <c r="C430" s="372"/>
      <c r="D430" s="97"/>
      <c r="E430" s="95" t="s">
        <v>33</v>
      </c>
      <c r="F430" s="372"/>
      <c r="G430" s="97"/>
      <c r="H430" s="95" t="s">
        <v>34</v>
      </c>
      <c r="I430" s="372"/>
      <c r="J430" s="97"/>
      <c r="K430" s="9"/>
    </row>
    <row r="431" spans="1:11" ht="12" customHeight="1">
      <c r="A431" s="9" t="s">
        <v>35</v>
      </c>
      <c r="B431" s="285" t="s">
        <v>200</v>
      </c>
      <c r="C431" s="308" t="s">
        <v>207</v>
      </c>
      <c r="D431" s="100" t="s">
        <v>67</v>
      </c>
      <c r="E431" s="285" t="str">
        <f>B431</f>
        <v>2018 Certified</v>
      </c>
      <c r="F431" s="308" t="s">
        <v>207</v>
      </c>
      <c r="G431" s="100" t="s">
        <v>67</v>
      </c>
      <c r="H431" s="101" t="str">
        <f>B431</f>
        <v>2018 Certified</v>
      </c>
      <c r="I431" s="384" t="s">
        <v>204</v>
      </c>
      <c r="J431" s="100" t="s">
        <v>67</v>
      </c>
      <c r="K431" s="287" t="s">
        <v>71</v>
      </c>
    </row>
    <row r="432" spans="1:11" s="144" customFormat="1" ht="12" customHeight="1">
      <c r="A432" s="9"/>
      <c r="B432" s="103"/>
      <c r="C432" s="108"/>
      <c r="D432" s="105"/>
      <c r="E432" s="103"/>
      <c r="F432" s="108"/>
      <c r="G432" s="105"/>
      <c r="H432" s="103"/>
      <c r="I432" s="108"/>
      <c r="J432" s="105"/>
      <c r="K432" s="9"/>
    </row>
    <row r="433" spans="1:11" s="144" customFormat="1" ht="12" customHeight="1">
      <c r="A433" s="9" t="s">
        <v>36</v>
      </c>
      <c r="B433" s="152">
        <v>0</v>
      </c>
      <c r="C433" s="108">
        <v>0</v>
      </c>
      <c r="D433" s="153"/>
      <c r="E433" s="109">
        <v>112413630</v>
      </c>
      <c r="F433" s="109">
        <v>115973375</v>
      </c>
      <c r="G433" s="110">
        <f>(F433-E433)/E433</f>
        <v>0.03166648919708402</v>
      </c>
      <c r="H433" s="107">
        <f aca="true" t="shared" si="48" ref="H433:H444">B433+E433</f>
        <v>112413630</v>
      </c>
      <c r="I433" s="108">
        <f aca="true" t="shared" si="49" ref="I433:I443">C433+F433</f>
        <v>115973375</v>
      </c>
      <c r="J433" s="110">
        <f>(I433-H433)/H433</f>
        <v>0.03166648919708402</v>
      </c>
      <c r="K433" s="291">
        <f>I433/I444</f>
        <v>0.3810482286037789</v>
      </c>
    </row>
    <row r="434" spans="1:11" s="144" customFormat="1" ht="12" customHeight="1">
      <c r="A434" s="9" t="s">
        <v>37</v>
      </c>
      <c r="B434" s="152">
        <v>0</v>
      </c>
      <c r="C434" s="108">
        <v>0</v>
      </c>
      <c r="D434" s="153"/>
      <c r="E434" s="109">
        <v>2347130</v>
      </c>
      <c r="F434" s="109">
        <v>4216386</v>
      </c>
      <c r="G434" s="110">
        <f aca="true" t="shared" si="50" ref="G434:G444">(F434-E434)/E434</f>
        <v>0.7964007106551405</v>
      </c>
      <c r="H434" s="107">
        <f t="shared" si="48"/>
        <v>2347130</v>
      </c>
      <c r="I434" s="108">
        <f t="shared" si="49"/>
        <v>4216386</v>
      </c>
      <c r="J434" s="110">
        <f aca="true" t="shared" si="51" ref="J434:J460">(I434-H434)/H434</f>
        <v>0.7964007106551405</v>
      </c>
      <c r="K434" s="291">
        <f>I434/I444</f>
        <v>0.013853579896332006</v>
      </c>
    </row>
    <row r="435" spans="1:11" s="144" customFormat="1" ht="12" customHeight="1">
      <c r="A435" s="9" t="s">
        <v>38</v>
      </c>
      <c r="B435" s="152">
        <v>0</v>
      </c>
      <c r="C435" s="108">
        <v>0</v>
      </c>
      <c r="D435" s="153"/>
      <c r="E435" s="109">
        <v>2081420</v>
      </c>
      <c r="F435" s="109">
        <v>1958449</v>
      </c>
      <c r="G435" s="110">
        <f t="shared" si="50"/>
        <v>-0.05908033938368998</v>
      </c>
      <c r="H435" s="107">
        <f t="shared" si="48"/>
        <v>2081420</v>
      </c>
      <c r="I435" s="108">
        <f>C435+F435</f>
        <v>1958449</v>
      </c>
      <c r="J435" s="110">
        <f t="shared" si="51"/>
        <v>-0.05908033938368998</v>
      </c>
      <c r="K435" s="291">
        <f>I435/I444</f>
        <v>0.0064347831755421645</v>
      </c>
    </row>
    <row r="436" spans="1:11" s="144" customFormat="1" ht="12" customHeight="1">
      <c r="A436" s="9" t="s">
        <v>39</v>
      </c>
      <c r="B436" s="152">
        <v>0</v>
      </c>
      <c r="C436" s="108">
        <v>0</v>
      </c>
      <c r="D436" s="153"/>
      <c r="E436" s="109">
        <v>1607140</v>
      </c>
      <c r="F436" s="109">
        <v>1581983</v>
      </c>
      <c r="G436" s="110">
        <f t="shared" si="50"/>
        <v>-0.01565327227248404</v>
      </c>
      <c r="H436" s="107">
        <f t="shared" si="48"/>
        <v>1607140</v>
      </c>
      <c r="I436" s="108">
        <f t="shared" si="49"/>
        <v>1581983</v>
      </c>
      <c r="J436" s="110">
        <f t="shared" si="51"/>
        <v>-0.01565327227248404</v>
      </c>
      <c r="K436" s="291">
        <f>I436/I444</f>
        <v>0.005197846659470693</v>
      </c>
    </row>
    <row r="437" spans="1:11" s="144" customFormat="1" ht="12" customHeight="1">
      <c r="A437" s="9" t="s">
        <v>40</v>
      </c>
      <c r="B437" s="152">
        <v>24498440</v>
      </c>
      <c r="C437" s="108">
        <v>16351571</v>
      </c>
      <c r="D437" s="153">
        <f>(C437-B437)/B437</f>
        <v>-0.33254643969167014</v>
      </c>
      <c r="E437" s="109">
        <v>28040010</v>
      </c>
      <c r="F437" s="109">
        <v>24778107</v>
      </c>
      <c r="G437" s="110">
        <f t="shared" si="50"/>
        <v>-0.11633030801344223</v>
      </c>
      <c r="H437" s="107">
        <f t="shared" si="48"/>
        <v>52538450</v>
      </c>
      <c r="I437" s="108">
        <f t="shared" si="49"/>
        <v>41129678</v>
      </c>
      <c r="J437" s="110">
        <f t="shared" si="51"/>
        <v>-0.21715090567003784</v>
      </c>
      <c r="K437" s="291">
        <f>I437/I444</f>
        <v>0.13513783611922836</v>
      </c>
    </row>
    <row r="438" spans="1:11" s="144" customFormat="1" ht="12" customHeight="1">
      <c r="A438" s="9" t="s">
        <v>41</v>
      </c>
      <c r="B438" s="152">
        <v>29640</v>
      </c>
      <c r="C438" s="109">
        <v>13793</v>
      </c>
      <c r="D438" s="110">
        <f>(C438-B438)/B438</f>
        <v>-0.5346491228070176</v>
      </c>
      <c r="E438" s="109">
        <v>0</v>
      </c>
      <c r="F438" s="109">
        <v>0</v>
      </c>
      <c r="G438" s="110">
        <v>0</v>
      </c>
      <c r="H438" s="107">
        <f t="shared" si="48"/>
        <v>29640</v>
      </c>
      <c r="I438" s="108">
        <f t="shared" si="49"/>
        <v>13793</v>
      </c>
      <c r="J438" s="110">
        <f t="shared" si="51"/>
        <v>-0.5346491228070176</v>
      </c>
      <c r="K438" s="291">
        <f>I438/I444</f>
        <v>4.531900720429946E-05</v>
      </c>
    </row>
    <row r="439" spans="1:11" s="144" customFormat="1" ht="12" customHeight="1">
      <c r="A439" s="9" t="s">
        <v>42</v>
      </c>
      <c r="B439" s="152">
        <v>6226490</v>
      </c>
      <c r="C439" s="109">
        <v>5544481</v>
      </c>
      <c r="D439" s="110">
        <f>(C439-B439)/B439</f>
        <v>-0.10953346106715019</v>
      </c>
      <c r="E439" s="109">
        <v>21680</v>
      </c>
      <c r="F439" s="109">
        <v>21030</v>
      </c>
      <c r="G439" s="110">
        <f t="shared" si="50"/>
        <v>-0.029981549815498155</v>
      </c>
      <c r="H439" s="107">
        <f t="shared" si="48"/>
        <v>6248170</v>
      </c>
      <c r="I439" s="108">
        <f t="shared" si="49"/>
        <v>5565511</v>
      </c>
      <c r="J439" s="110">
        <f t="shared" si="51"/>
        <v>-0.10925743057567255</v>
      </c>
      <c r="K439" s="291">
        <f>I439/I444</f>
        <v>0.018286336047604428</v>
      </c>
    </row>
    <row r="440" spans="1:11" s="144" customFormat="1" ht="12" customHeight="1">
      <c r="A440" s="9" t="s">
        <v>43</v>
      </c>
      <c r="B440" s="152">
        <v>119475610</v>
      </c>
      <c r="C440" s="109">
        <v>111050644</v>
      </c>
      <c r="D440" s="110">
        <f>(C440-B440)/B440</f>
        <v>-0.07051619991728855</v>
      </c>
      <c r="E440" s="109">
        <v>14616050</v>
      </c>
      <c r="F440" s="109">
        <v>14610538</v>
      </c>
      <c r="G440" s="110">
        <f t="shared" si="50"/>
        <v>-0.000377119673235929</v>
      </c>
      <c r="H440" s="107">
        <f t="shared" si="48"/>
        <v>134091660</v>
      </c>
      <c r="I440" s="108">
        <f t="shared" si="49"/>
        <v>125661182</v>
      </c>
      <c r="J440" s="110">
        <f t="shared" si="51"/>
        <v>-0.06287100927828025</v>
      </c>
      <c r="K440" s="291">
        <f>I440/I444</f>
        <v>0.4128789974884931</v>
      </c>
    </row>
    <row r="441" spans="1:11" s="144" customFormat="1" ht="12" customHeight="1">
      <c r="A441" s="9" t="s">
        <v>44</v>
      </c>
      <c r="B441" s="152">
        <v>0</v>
      </c>
      <c r="C441" s="108"/>
      <c r="D441" s="153"/>
      <c r="E441" s="109">
        <v>314270</v>
      </c>
      <c r="F441" s="109">
        <v>304308</v>
      </c>
      <c r="G441" s="110">
        <f t="shared" si="50"/>
        <v>-0.03169885767015623</v>
      </c>
      <c r="H441" s="107">
        <f t="shared" si="48"/>
        <v>314270</v>
      </c>
      <c r="I441" s="108">
        <f t="shared" si="49"/>
        <v>304308</v>
      </c>
      <c r="J441" s="110">
        <f t="shared" si="51"/>
        <v>-0.03169885767015623</v>
      </c>
      <c r="K441" s="291">
        <f>I441/I444</f>
        <v>0.0009998503910915652</v>
      </c>
    </row>
    <row r="442" spans="1:11" s="144" customFormat="1" ht="12" customHeight="1">
      <c r="A442" s="9" t="s">
        <v>45</v>
      </c>
      <c r="B442" s="152">
        <v>0</v>
      </c>
      <c r="C442" s="108">
        <v>0</v>
      </c>
      <c r="D442" s="153"/>
      <c r="E442" s="109">
        <v>3921170</v>
      </c>
      <c r="F442" s="109">
        <v>3177594</v>
      </c>
      <c r="G442" s="110">
        <f t="shared" si="50"/>
        <v>-0.1896311560070081</v>
      </c>
      <c r="H442" s="107">
        <f t="shared" si="48"/>
        <v>3921170</v>
      </c>
      <c r="I442" s="108">
        <f t="shared" si="49"/>
        <v>3177594</v>
      </c>
      <c r="J442" s="110">
        <f t="shared" si="51"/>
        <v>-0.1896311560070081</v>
      </c>
      <c r="K442" s="291">
        <f>I442/I444</f>
        <v>0.010440470193456008</v>
      </c>
    </row>
    <row r="443" spans="1:11" s="144" customFormat="1" ht="12" customHeight="1">
      <c r="A443" s="9" t="s">
        <v>46</v>
      </c>
      <c r="B443" s="152">
        <v>0</v>
      </c>
      <c r="C443" s="108">
        <v>0</v>
      </c>
      <c r="D443" s="320"/>
      <c r="E443" s="109">
        <v>5089230</v>
      </c>
      <c r="F443" s="109">
        <v>4771275</v>
      </c>
      <c r="G443" s="292">
        <f t="shared" si="50"/>
        <v>-0.06247605236941541</v>
      </c>
      <c r="H443" s="108">
        <f t="shared" si="48"/>
        <v>5089230</v>
      </c>
      <c r="I443" s="108">
        <f t="shared" si="49"/>
        <v>4771275</v>
      </c>
      <c r="J443" s="292">
        <f t="shared" si="51"/>
        <v>-0.06247605236941541</v>
      </c>
      <c r="K443" s="293">
        <f>I443/I444</f>
        <v>0.01567675241779844</v>
      </c>
    </row>
    <row r="444" spans="1:11" s="144" customFormat="1" ht="12" customHeight="1" thickBot="1">
      <c r="A444" s="294" t="s">
        <v>47</v>
      </c>
      <c r="B444" s="295">
        <f>SUM(B433:B443)</f>
        <v>150230180</v>
      </c>
      <c r="C444" s="296">
        <f>SUM(C433:C443)</f>
        <v>132960489</v>
      </c>
      <c r="D444" s="321">
        <f>(C444-B444)/B444</f>
        <v>-0.11495487125156877</v>
      </c>
      <c r="E444" s="314">
        <f>SUM(E433:E443)</f>
        <v>170451730</v>
      </c>
      <c r="F444" s="296">
        <f>SUM(F433:F443)</f>
        <v>171393045</v>
      </c>
      <c r="G444" s="297">
        <f t="shared" si="50"/>
        <v>0.005522472549853263</v>
      </c>
      <c r="H444" s="314">
        <f t="shared" si="48"/>
        <v>320681910</v>
      </c>
      <c r="I444" s="311">
        <f>SUM(I433:I443)</f>
        <v>304353534</v>
      </c>
      <c r="J444" s="278">
        <f t="shared" si="51"/>
        <v>-0.05091767103420333</v>
      </c>
      <c r="K444" s="117">
        <f>SUM(K433:K443)</f>
        <v>0.9999999999999999</v>
      </c>
    </row>
    <row r="445" spans="1:11" s="144" customFormat="1" ht="12" customHeight="1">
      <c r="A445" s="113" t="s">
        <v>109</v>
      </c>
      <c r="B445" s="9"/>
      <c r="C445" s="112"/>
      <c r="D445" s="9"/>
      <c r="E445" s="9"/>
      <c r="F445" s="112"/>
      <c r="G445" s="9"/>
      <c r="H445" s="118">
        <v>0</v>
      </c>
      <c r="I445" s="118">
        <v>0</v>
      </c>
      <c r="J445" s="117">
        <v>-1</v>
      </c>
      <c r="K445" s="9"/>
    </row>
    <row r="446" spans="1:11" s="144" customFormat="1" ht="12" customHeight="1">
      <c r="A446" s="113" t="s">
        <v>174</v>
      </c>
      <c r="B446" s="9"/>
      <c r="C446" s="112"/>
      <c r="D446" s="9"/>
      <c r="E446" s="9"/>
      <c r="F446" s="112"/>
      <c r="G446" s="9"/>
      <c r="H446" s="118">
        <v>-184340</v>
      </c>
      <c r="I446" s="118">
        <v>-65120</v>
      </c>
      <c r="J446" s="117">
        <f t="shared" si="51"/>
        <v>-0.6467397200824563</v>
      </c>
      <c r="K446" s="9"/>
    </row>
    <row r="447" spans="1:11" s="144" customFormat="1" ht="12" customHeight="1">
      <c r="A447" s="113" t="s">
        <v>49</v>
      </c>
      <c r="B447" s="9"/>
      <c r="C447" s="112"/>
      <c r="D447" s="9"/>
      <c r="E447" s="9"/>
      <c r="F447" s="112"/>
      <c r="G447" s="9"/>
      <c r="H447" s="118">
        <v>-1406090</v>
      </c>
      <c r="I447" s="118">
        <v>-1406170</v>
      </c>
      <c r="J447" s="313">
        <f t="shared" si="51"/>
        <v>5.6895362316779155E-05</v>
      </c>
      <c r="K447" s="9"/>
    </row>
    <row r="448" spans="1:11" s="144" customFormat="1" ht="12" customHeight="1">
      <c r="A448" s="294" t="s">
        <v>50</v>
      </c>
      <c r="B448" s="301"/>
      <c r="C448" s="392"/>
      <c r="D448" s="301"/>
      <c r="E448" s="301"/>
      <c r="F448" s="392"/>
      <c r="G448" s="301"/>
      <c r="H448" s="302">
        <f>SUM(H444:H447)</f>
        <v>319091480</v>
      </c>
      <c r="I448" s="302">
        <f>SUM(I444:I447)</f>
        <v>302882244</v>
      </c>
      <c r="J448" s="303">
        <f t="shared" si="51"/>
        <v>-0.05079808461197397</v>
      </c>
      <c r="K448" s="9"/>
    </row>
    <row r="449" spans="1:11" s="144" customFormat="1" ht="12" customHeight="1">
      <c r="A449" s="113" t="s">
        <v>127</v>
      </c>
      <c r="B449" s="9"/>
      <c r="C449" s="112"/>
      <c r="D449" s="9"/>
      <c r="E449" s="9"/>
      <c r="F449" s="112"/>
      <c r="G449" s="9"/>
      <c r="H449" s="120">
        <v>-1660</v>
      </c>
      <c r="I449" s="120">
        <v>-3390</v>
      </c>
      <c r="J449" s="117">
        <f t="shared" si="51"/>
        <v>1.0421686746987953</v>
      </c>
      <c r="K449" s="9"/>
    </row>
    <row r="450" spans="1:11" s="144" customFormat="1" ht="12" customHeight="1">
      <c r="A450" s="113" t="s">
        <v>78</v>
      </c>
      <c r="B450" s="9"/>
      <c r="C450" s="112"/>
      <c r="D450" s="9"/>
      <c r="E450" s="9"/>
      <c r="F450" s="112"/>
      <c r="G450" s="9"/>
      <c r="H450" s="120">
        <v>-232630</v>
      </c>
      <c r="I450" s="120">
        <v>-232630</v>
      </c>
      <c r="J450" s="117">
        <f t="shared" si="51"/>
        <v>0</v>
      </c>
      <c r="K450" s="9"/>
    </row>
    <row r="451" spans="1:11" s="144" customFormat="1" ht="12" customHeight="1">
      <c r="A451" s="113" t="s">
        <v>128</v>
      </c>
      <c r="B451" s="9"/>
      <c r="C451" s="112"/>
      <c r="D451" s="9"/>
      <c r="E451" s="9"/>
      <c r="F451" s="112"/>
      <c r="G451" s="9"/>
      <c r="H451" s="120">
        <v>-2176410</v>
      </c>
      <c r="I451" s="120">
        <v>-2177130</v>
      </c>
      <c r="J451" s="117">
        <v>0</v>
      </c>
      <c r="K451" s="9"/>
    </row>
    <row r="452" spans="1:11" s="144" customFormat="1" ht="12" customHeight="1">
      <c r="A452" s="113" t="s">
        <v>157</v>
      </c>
      <c r="B452" s="9"/>
      <c r="C452" s="112"/>
      <c r="D452" s="9"/>
      <c r="E452" s="9"/>
      <c r="F452" s="112"/>
      <c r="G452" s="9"/>
      <c r="H452" s="118">
        <v>-5151360</v>
      </c>
      <c r="I452" s="118">
        <v>-4980970</v>
      </c>
      <c r="J452" s="117">
        <f t="shared" si="51"/>
        <v>-0.0330767020747919</v>
      </c>
      <c r="K452" s="9"/>
    </row>
    <row r="453" spans="1:11" s="144" customFormat="1" ht="12" customHeight="1">
      <c r="A453" s="113" t="s">
        <v>53</v>
      </c>
      <c r="B453" s="9"/>
      <c r="C453" s="112"/>
      <c r="D453" s="9"/>
      <c r="E453" s="9"/>
      <c r="F453" s="112"/>
      <c r="G453" s="9"/>
      <c r="H453" s="118">
        <v>0</v>
      </c>
      <c r="I453" s="118">
        <v>0</v>
      </c>
      <c r="J453" s="117">
        <v>0</v>
      </c>
      <c r="K453" s="9"/>
    </row>
    <row r="454" spans="1:11" s="144" customFormat="1" ht="12" customHeight="1">
      <c r="A454" s="113" t="s">
        <v>54</v>
      </c>
      <c r="B454" s="9"/>
      <c r="C454" s="112"/>
      <c r="D454" s="9"/>
      <c r="E454" s="9"/>
      <c r="F454" s="112"/>
      <c r="G454" s="9"/>
      <c r="H454" s="118">
        <v>0</v>
      </c>
      <c r="I454" s="118">
        <v>0</v>
      </c>
      <c r="J454" s="117">
        <v>0</v>
      </c>
      <c r="K454" s="9"/>
    </row>
    <row r="455" spans="1:11" s="144" customFormat="1" ht="12" customHeight="1">
      <c r="A455" s="113" t="s">
        <v>55</v>
      </c>
      <c r="B455" s="9"/>
      <c r="C455" s="112"/>
      <c r="D455" s="9"/>
      <c r="E455" s="9"/>
      <c r="F455" s="112"/>
      <c r="G455" s="9"/>
      <c r="H455" s="118">
        <v>0</v>
      </c>
      <c r="I455" s="118">
        <v>0</v>
      </c>
      <c r="J455" s="117">
        <v>0</v>
      </c>
      <c r="K455" s="9"/>
    </row>
    <row r="456" spans="1:11" s="144" customFormat="1" ht="12" customHeight="1">
      <c r="A456" s="113" t="s">
        <v>56</v>
      </c>
      <c r="B456" s="9"/>
      <c r="C456" s="112"/>
      <c r="D456" s="9"/>
      <c r="E456" s="9"/>
      <c r="F456" s="112"/>
      <c r="G456" s="9"/>
      <c r="H456" s="118">
        <v>-1351790</v>
      </c>
      <c r="I456" s="118">
        <v>-1374550</v>
      </c>
      <c r="J456" s="117">
        <f t="shared" si="51"/>
        <v>0.01683693473098632</v>
      </c>
      <c r="K456" s="9"/>
    </row>
    <row r="457" spans="1:11" s="144" customFormat="1" ht="12" customHeight="1">
      <c r="A457" s="113" t="s">
        <v>57</v>
      </c>
      <c r="B457" s="9"/>
      <c r="C457" s="112"/>
      <c r="D457" s="9"/>
      <c r="E457" s="9"/>
      <c r="F457" s="112"/>
      <c r="G457" s="9"/>
      <c r="H457" s="118">
        <v>0</v>
      </c>
      <c r="I457" s="118">
        <v>0</v>
      </c>
      <c r="J457" s="117">
        <v>0</v>
      </c>
      <c r="K457" s="9"/>
    </row>
    <row r="458" spans="1:11" s="144" customFormat="1" ht="12" customHeight="1">
      <c r="A458" s="113" t="s">
        <v>58</v>
      </c>
      <c r="B458" s="9"/>
      <c r="C458" s="112"/>
      <c r="D458" s="9"/>
      <c r="E458" s="9"/>
      <c r="F458" s="112"/>
      <c r="G458" s="9"/>
      <c r="H458" s="118">
        <v>-1593820</v>
      </c>
      <c r="I458" s="118">
        <v>-1618820</v>
      </c>
      <c r="J458" s="117">
        <f t="shared" si="51"/>
        <v>0.01568558557428066</v>
      </c>
      <c r="K458" s="9"/>
    </row>
    <row r="459" spans="1:11" s="144" customFormat="1" ht="12" customHeight="1">
      <c r="A459" s="113" t="s">
        <v>59</v>
      </c>
      <c r="B459" s="9"/>
      <c r="C459" s="112"/>
      <c r="D459" s="9"/>
      <c r="E459" s="9"/>
      <c r="F459" s="112"/>
      <c r="G459" s="9"/>
      <c r="H459" s="120">
        <v>-110000</v>
      </c>
      <c r="I459" s="120">
        <v>-90000</v>
      </c>
      <c r="J459" s="313">
        <f t="shared" si="51"/>
        <v>-0.18181818181818182</v>
      </c>
      <c r="K459" s="9"/>
    </row>
    <row r="460" spans="1:11" s="144" customFormat="1" ht="12" customHeight="1">
      <c r="A460" s="294" t="s">
        <v>60</v>
      </c>
      <c r="B460" s="301"/>
      <c r="C460" s="392"/>
      <c r="D460" s="301"/>
      <c r="E460" s="301"/>
      <c r="F460" s="392"/>
      <c r="G460" s="301"/>
      <c r="H460" s="283">
        <f>SUM(H448:H459)</f>
        <v>308473810</v>
      </c>
      <c r="I460" s="302">
        <f>SUM(I448:I459)</f>
        <v>292404754</v>
      </c>
      <c r="J460" s="322">
        <f t="shared" si="51"/>
        <v>-0.052092124125545695</v>
      </c>
      <c r="K460" s="9"/>
    </row>
    <row r="461" spans="1:11" s="144" customFormat="1" ht="12" customHeight="1">
      <c r="A461" s="121" t="s">
        <v>61</v>
      </c>
      <c r="B461" s="9"/>
      <c r="C461" s="112"/>
      <c r="D461" s="9"/>
      <c r="E461" s="323">
        <v>20795970</v>
      </c>
      <c r="F461" s="323">
        <v>23312050</v>
      </c>
      <c r="G461" s="123">
        <f>(F461-E461)/E461</f>
        <v>0.12098882620046096</v>
      </c>
      <c r="H461" s="324"/>
      <c r="I461" s="325"/>
      <c r="J461" s="326"/>
      <c r="K461" s="146"/>
    </row>
    <row r="462" spans="1:11" s="144" customFormat="1" ht="12" customHeight="1">
      <c r="A462" s="121" t="s">
        <v>19</v>
      </c>
      <c r="B462" s="104"/>
      <c r="C462" s="108"/>
      <c r="D462" s="104"/>
      <c r="E462" s="389">
        <v>89904.36</v>
      </c>
      <c r="F462" s="394">
        <v>102214.98</v>
      </c>
      <c r="G462" s="123">
        <f>(F462-E462)/E462</f>
        <v>0.13693017780227784</v>
      </c>
      <c r="H462" s="324"/>
      <c r="I462" s="325"/>
      <c r="J462" s="327"/>
      <c r="K462" s="146"/>
    </row>
    <row r="463" spans="1:11" s="144" customFormat="1" ht="12" customHeight="1">
      <c r="A463" s="121" t="s">
        <v>185</v>
      </c>
      <c r="B463" s="104"/>
      <c r="C463" s="108"/>
      <c r="D463" s="104"/>
      <c r="E463" s="328">
        <v>0.4904</v>
      </c>
      <c r="F463" s="395">
        <v>0.51965</v>
      </c>
      <c r="G463" s="123">
        <f>(F463-E463)/E463</f>
        <v>0.059645187601957465</v>
      </c>
      <c r="H463" s="324"/>
      <c r="I463" s="325"/>
      <c r="J463" s="327"/>
      <c r="K463" s="146"/>
    </row>
    <row r="464" spans="1:11" s="144" customFormat="1" ht="12" customHeight="1">
      <c r="A464" s="121" t="s">
        <v>62</v>
      </c>
      <c r="B464" s="9"/>
      <c r="C464" s="112"/>
      <c r="D464" s="9"/>
      <c r="E464" s="329" t="s">
        <v>198</v>
      </c>
      <c r="F464" s="323"/>
      <c r="G464" s="329"/>
      <c r="H464" s="318">
        <f>(H460-E461)*E463/100+E462</f>
        <v>1500676.4873600001</v>
      </c>
      <c r="I464" s="131">
        <f>(I460-F461)*F463/100+F462</f>
        <v>1500555.216336</v>
      </c>
      <c r="J464" s="330">
        <f>(I464-H464)/H464</f>
        <v>-8.081090429655044E-05</v>
      </c>
      <c r="K464" s="9"/>
    </row>
    <row r="465" spans="1:11" s="144" customFormat="1" ht="12" customHeight="1">
      <c r="A465" s="121" t="s">
        <v>18</v>
      </c>
      <c r="B465" s="9"/>
      <c r="C465" s="112"/>
      <c r="D465" s="9"/>
      <c r="E465" s="329"/>
      <c r="F465" s="323"/>
      <c r="G465" s="329"/>
      <c r="H465" s="362">
        <v>4896850</v>
      </c>
      <c r="I465" s="323">
        <v>2926120</v>
      </c>
      <c r="J465" s="330">
        <f>(I465-H465)/H465</f>
        <v>-0.4024485128194656</v>
      </c>
      <c r="K465" s="9"/>
    </row>
    <row r="466" spans="1:11" s="144" customFormat="1" ht="12" customHeight="1">
      <c r="A466" s="121" t="s">
        <v>17</v>
      </c>
      <c r="B466" s="9"/>
      <c r="C466" s="112"/>
      <c r="D466" s="9"/>
      <c r="E466" s="329"/>
      <c r="F466" s="323"/>
      <c r="G466" s="329"/>
      <c r="H466" s="323">
        <v>1435</v>
      </c>
      <c r="I466" s="323">
        <v>1460</v>
      </c>
      <c r="J466" s="330">
        <f>(I466-H466)/H466</f>
        <v>0.017421602787456445</v>
      </c>
      <c r="K466" s="9"/>
    </row>
    <row r="467" spans="1:11" s="144" customFormat="1" ht="12" customHeight="1">
      <c r="A467" s="121"/>
      <c r="B467" s="9"/>
      <c r="C467" s="112"/>
      <c r="D467" s="9"/>
      <c r="E467" s="329"/>
      <c r="F467" s="323"/>
      <c r="G467" s="329"/>
      <c r="I467" s="323"/>
      <c r="J467" s="330"/>
      <c r="K467" s="9"/>
    </row>
    <row r="468" spans="1:12" s="136" customFormat="1" ht="12" customHeight="1" thickBot="1">
      <c r="A468" s="132"/>
      <c r="C468" s="140"/>
      <c r="F468" s="140"/>
      <c r="H468" s="140"/>
      <c r="I468" s="140"/>
      <c r="J468" s="135"/>
      <c r="K468" s="150"/>
      <c r="L468" s="150"/>
    </row>
    <row r="469" spans="1:10" ht="12" customHeight="1">
      <c r="A469" s="290" t="s">
        <v>7</v>
      </c>
      <c r="B469" s="95" t="s">
        <v>32</v>
      </c>
      <c r="C469" s="372"/>
      <c r="D469" s="97"/>
      <c r="E469" s="95" t="s">
        <v>33</v>
      </c>
      <c r="F469" s="372"/>
      <c r="G469" s="97"/>
      <c r="H469" s="95" t="s">
        <v>34</v>
      </c>
      <c r="I469" s="372"/>
      <c r="J469" s="97"/>
    </row>
    <row r="470" spans="1:11" ht="12" customHeight="1">
      <c r="A470" s="9" t="s">
        <v>35</v>
      </c>
      <c r="B470" s="285" t="s">
        <v>200</v>
      </c>
      <c r="C470" s="308" t="s">
        <v>207</v>
      </c>
      <c r="D470" s="100" t="s">
        <v>67</v>
      </c>
      <c r="E470" s="285" t="str">
        <f>B470</f>
        <v>2018 Certified</v>
      </c>
      <c r="F470" s="308" t="s">
        <v>207</v>
      </c>
      <c r="G470" s="100" t="s">
        <v>67</v>
      </c>
      <c r="H470" s="101" t="str">
        <f>B470</f>
        <v>2018 Certified</v>
      </c>
      <c r="I470" s="384" t="s">
        <v>204</v>
      </c>
      <c r="J470" s="100" t="s">
        <v>67</v>
      </c>
      <c r="K470" s="287" t="s">
        <v>71</v>
      </c>
    </row>
    <row r="471" spans="2:10" ht="12" customHeight="1">
      <c r="B471" s="103"/>
      <c r="C471" s="108"/>
      <c r="D471" s="105"/>
      <c r="E471" s="103"/>
      <c r="F471" s="108"/>
      <c r="G471" s="105"/>
      <c r="H471" s="103"/>
      <c r="I471" s="108"/>
      <c r="J471" s="105"/>
    </row>
    <row r="472" spans="1:11" ht="12" customHeight="1">
      <c r="A472" s="9" t="s">
        <v>36</v>
      </c>
      <c r="B472" s="107">
        <v>0</v>
      </c>
      <c r="C472" s="108">
        <v>0</v>
      </c>
      <c r="D472" s="153">
        <v>0</v>
      </c>
      <c r="E472" s="109">
        <v>38867920</v>
      </c>
      <c r="F472" s="109">
        <v>38147995</v>
      </c>
      <c r="G472" s="110">
        <f>(F472-E472)/E472</f>
        <v>-0.018522344390952745</v>
      </c>
      <c r="H472" s="107">
        <f aca="true" t="shared" si="52" ref="H472:H482">B472+E472</f>
        <v>38867920</v>
      </c>
      <c r="I472" s="108">
        <f aca="true" t="shared" si="53" ref="I472:I482">C472+F472</f>
        <v>38147995</v>
      </c>
      <c r="J472" s="110">
        <f aca="true" t="shared" si="54" ref="J472:J480">(I472-H472)/H472</f>
        <v>-0.018522344390952745</v>
      </c>
      <c r="K472" s="291">
        <f>I472/I483</f>
        <v>0.18453772124115556</v>
      </c>
    </row>
    <row r="473" spans="1:11" ht="12" customHeight="1">
      <c r="A473" s="9" t="s">
        <v>37</v>
      </c>
      <c r="B473" s="107">
        <v>0</v>
      </c>
      <c r="C473" s="108">
        <v>0</v>
      </c>
      <c r="D473" s="153">
        <v>0</v>
      </c>
      <c r="E473" s="109">
        <v>1640950</v>
      </c>
      <c r="F473" s="109">
        <v>3217548</v>
      </c>
      <c r="G473" s="110">
        <f>(F473-E473)/E473</f>
        <v>0.9607836923733203</v>
      </c>
      <c r="H473" s="107">
        <f t="shared" si="52"/>
        <v>1640950</v>
      </c>
      <c r="I473" s="108">
        <f t="shared" si="53"/>
        <v>3217548</v>
      </c>
      <c r="J473" s="110">
        <f t="shared" si="54"/>
        <v>0.9607836923733203</v>
      </c>
      <c r="K473" s="291">
        <f>I473/I483</f>
        <v>0.015564618164179731</v>
      </c>
    </row>
    <row r="474" spans="1:11" ht="12" customHeight="1">
      <c r="A474" s="9" t="s">
        <v>38</v>
      </c>
      <c r="B474" s="107">
        <v>0</v>
      </c>
      <c r="C474" s="108">
        <v>0</v>
      </c>
      <c r="D474" s="153">
        <v>0</v>
      </c>
      <c r="E474" s="109">
        <v>1720480</v>
      </c>
      <c r="F474" s="109">
        <v>1560992</v>
      </c>
      <c r="G474" s="110">
        <f>(F474-E474)/E474</f>
        <v>-0.09269971170836046</v>
      </c>
      <c r="H474" s="107">
        <f t="shared" si="52"/>
        <v>1720480</v>
      </c>
      <c r="I474" s="108">
        <f t="shared" si="53"/>
        <v>1560992</v>
      </c>
      <c r="J474" s="110">
        <f t="shared" si="54"/>
        <v>-0.09269971170836046</v>
      </c>
      <c r="K474" s="291">
        <f>I474/I483</f>
        <v>0.007551167670952927</v>
      </c>
    </row>
    <row r="475" spans="1:11" ht="12" customHeight="1">
      <c r="A475" s="9" t="s">
        <v>39</v>
      </c>
      <c r="B475" s="107">
        <v>0</v>
      </c>
      <c r="C475" s="108">
        <v>0</v>
      </c>
      <c r="D475" s="153">
        <v>0</v>
      </c>
      <c r="E475" s="109">
        <v>657170</v>
      </c>
      <c r="F475" s="109">
        <v>652374</v>
      </c>
      <c r="G475" s="110">
        <f>(F475-E475)/E475</f>
        <v>-0.007297959432110413</v>
      </c>
      <c r="H475" s="107">
        <f t="shared" si="52"/>
        <v>657170</v>
      </c>
      <c r="I475" s="108">
        <f t="shared" si="53"/>
        <v>652374</v>
      </c>
      <c r="J475" s="110">
        <f t="shared" si="54"/>
        <v>-0.007297959432110413</v>
      </c>
      <c r="K475" s="291">
        <f>I475/I483</f>
        <v>0.0031558044231938696</v>
      </c>
    </row>
    <row r="476" spans="1:11" ht="12" customHeight="1">
      <c r="A476" s="9" t="s">
        <v>40</v>
      </c>
      <c r="B476" s="107">
        <v>2409650</v>
      </c>
      <c r="C476" s="108">
        <v>2337855</v>
      </c>
      <c r="D476" s="153">
        <f>(C476-B476)/B476</f>
        <v>-0.029794783474778496</v>
      </c>
      <c r="E476" s="109">
        <v>12350550</v>
      </c>
      <c r="F476" s="109">
        <v>13648938</v>
      </c>
      <c r="G476" s="110">
        <f>(F476-E476)/E476</f>
        <v>0.10512794976741927</v>
      </c>
      <c r="H476" s="107">
        <f t="shared" si="52"/>
        <v>14760200</v>
      </c>
      <c r="I476" s="108">
        <f t="shared" si="53"/>
        <v>15986793</v>
      </c>
      <c r="J476" s="110">
        <f t="shared" si="54"/>
        <v>0.08310138074009837</v>
      </c>
      <c r="K476" s="291">
        <f>I476/I483</f>
        <v>0.0773347681883165</v>
      </c>
    </row>
    <row r="477" spans="1:11" ht="12" customHeight="1">
      <c r="A477" s="9" t="s">
        <v>41</v>
      </c>
      <c r="B477" s="152">
        <v>2076270</v>
      </c>
      <c r="C477" s="109">
        <v>1759968</v>
      </c>
      <c r="D477" s="153">
        <f>(C477-B477)/B477</f>
        <v>-0.1523414584808334</v>
      </c>
      <c r="E477" s="109">
        <v>0</v>
      </c>
      <c r="F477" s="109">
        <v>0</v>
      </c>
      <c r="G477" s="110">
        <v>0</v>
      </c>
      <c r="H477" s="107">
        <f t="shared" si="52"/>
        <v>2076270</v>
      </c>
      <c r="I477" s="108">
        <f t="shared" si="53"/>
        <v>1759968</v>
      </c>
      <c r="J477" s="110">
        <f t="shared" si="54"/>
        <v>-0.1523414584808334</v>
      </c>
      <c r="K477" s="291">
        <f>I477/I483</f>
        <v>0.00851369735623993</v>
      </c>
    </row>
    <row r="478" spans="1:11" ht="12" customHeight="1">
      <c r="A478" s="9" t="s">
        <v>42</v>
      </c>
      <c r="B478" s="152">
        <v>12644190</v>
      </c>
      <c r="C478" s="109">
        <v>10792577</v>
      </c>
      <c r="D478" s="153">
        <f>(C478-B478)/B478</f>
        <v>-0.14643982730408195</v>
      </c>
      <c r="E478" s="109">
        <v>274790</v>
      </c>
      <c r="F478" s="109">
        <v>278118</v>
      </c>
      <c r="G478" s="110">
        <f aca="true" t="shared" si="55" ref="G478:G483">(F478-E478)/E478</f>
        <v>0.012111066632701336</v>
      </c>
      <c r="H478" s="107">
        <f t="shared" si="52"/>
        <v>12918980</v>
      </c>
      <c r="I478" s="108">
        <f t="shared" si="53"/>
        <v>11070695</v>
      </c>
      <c r="J478" s="110">
        <f t="shared" si="54"/>
        <v>-0.14306740934655832</v>
      </c>
      <c r="K478" s="291">
        <f>I478/I483</f>
        <v>0.05355355708355982</v>
      </c>
    </row>
    <row r="479" spans="1:11" ht="12" customHeight="1">
      <c r="A479" s="9" t="s">
        <v>43</v>
      </c>
      <c r="B479" s="152">
        <v>142255820</v>
      </c>
      <c r="C479" s="109">
        <v>116139516</v>
      </c>
      <c r="D479" s="153">
        <f>(C479-B479)/B479</f>
        <v>-0.1835868929650822</v>
      </c>
      <c r="E479" s="109">
        <v>5146240</v>
      </c>
      <c r="F479" s="109">
        <v>5402677</v>
      </c>
      <c r="G479" s="110">
        <f t="shared" si="55"/>
        <v>0.049829972951125484</v>
      </c>
      <c r="H479" s="107">
        <f t="shared" si="52"/>
        <v>147402060</v>
      </c>
      <c r="I479" s="108">
        <f t="shared" si="53"/>
        <v>121542193</v>
      </c>
      <c r="J479" s="110">
        <f t="shared" si="54"/>
        <v>-0.175437622784919</v>
      </c>
      <c r="K479" s="291">
        <f>I479/I483</f>
        <v>0.5879501486479887</v>
      </c>
    </row>
    <row r="480" spans="1:11" ht="12" customHeight="1">
      <c r="A480" s="9" t="s">
        <v>44</v>
      </c>
      <c r="B480" s="107">
        <v>0</v>
      </c>
      <c r="C480" s="108">
        <v>0</v>
      </c>
      <c r="D480" s="153">
        <v>0</v>
      </c>
      <c r="E480" s="109">
        <v>1402490</v>
      </c>
      <c r="F480" s="109">
        <v>1440140</v>
      </c>
      <c r="G480" s="110">
        <f t="shared" si="55"/>
        <v>0.026845111195088735</v>
      </c>
      <c r="H480" s="107">
        <f t="shared" si="52"/>
        <v>1402490</v>
      </c>
      <c r="I480" s="108">
        <f t="shared" si="53"/>
        <v>1440140</v>
      </c>
      <c r="J480" s="110">
        <f t="shared" si="54"/>
        <v>0.026845111195088735</v>
      </c>
      <c r="K480" s="291">
        <f>I480/I483</f>
        <v>0.006966556272963697</v>
      </c>
    </row>
    <row r="481" spans="1:11" ht="12" customHeight="1">
      <c r="A481" s="9" t="s">
        <v>45</v>
      </c>
      <c r="B481" s="107">
        <v>0</v>
      </c>
      <c r="C481" s="108">
        <v>0</v>
      </c>
      <c r="D481" s="153">
        <v>0</v>
      </c>
      <c r="E481" s="109">
        <v>0</v>
      </c>
      <c r="F481" s="109">
        <v>0</v>
      </c>
      <c r="G481" s="110">
        <v>0</v>
      </c>
      <c r="H481" s="107">
        <f t="shared" si="52"/>
        <v>0</v>
      </c>
      <c r="I481" s="108">
        <f t="shared" si="53"/>
        <v>0</v>
      </c>
      <c r="J481" s="110">
        <v>0</v>
      </c>
      <c r="K481" s="291">
        <f>I481/I483</f>
        <v>0</v>
      </c>
    </row>
    <row r="482" spans="1:11" ht="12" customHeight="1">
      <c r="A482" s="9" t="s">
        <v>46</v>
      </c>
      <c r="B482" s="107">
        <v>0</v>
      </c>
      <c r="C482" s="108">
        <v>0</v>
      </c>
      <c r="D482" s="153">
        <v>0</v>
      </c>
      <c r="E482" s="109">
        <v>11660010</v>
      </c>
      <c r="F482" s="109">
        <v>11343238</v>
      </c>
      <c r="G482" s="110">
        <f t="shared" si="55"/>
        <v>-0.02716738664889653</v>
      </c>
      <c r="H482" s="107">
        <f t="shared" si="52"/>
        <v>11660010</v>
      </c>
      <c r="I482" s="108">
        <f t="shared" si="53"/>
        <v>11343238</v>
      </c>
      <c r="J482" s="110">
        <f aca="true" t="shared" si="56" ref="J482:J487">(I482-H482)/H482</f>
        <v>-0.02716738664889653</v>
      </c>
      <c r="K482" s="293">
        <f>I482/I483</f>
        <v>0.05487196095144929</v>
      </c>
    </row>
    <row r="483" spans="1:11" ht="12" customHeight="1" thickBot="1">
      <c r="A483" s="294" t="s">
        <v>47</v>
      </c>
      <c r="B483" s="295">
        <f>SUM(B472:B482)</f>
        <v>159385930</v>
      </c>
      <c r="C483" s="296">
        <f>SUM(C472:C482)</f>
        <v>131029916</v>
      </c>
      <c r="D483" s="321">
        <f>(C483-B483)/B483</f>
        <v>-0.17790788685048925</v>
      </c>
      <c r="E483" s="314">
        <f>SUM(E472:E482)</f>
        <v>73720600</v>
      </c>
      <c r="F483" s="296">
        <f>SUM(F472:F482)</f>
        <v>75692020</v>
      </c>
      <c r="G483" s="297">
        <f t="shared" si="55"/>
        <v>0.02674177909566661</v>
      </c>
      <c r="H483" s="314">
        <f>SUM(H472:H482)</f>
        <v>233106530</v>
      </c>
      <c r="I483" s="311">
        <f>SUM(I472:I482)</f>
        <v>206721936</v>
      </c>
      <c r="J483" s="297">
        <f t="shared" si="56"/>
        <v>-0.1131868506643722</v>
      </c>
      <c r="K483" s="117">
        <f>SUM(K472:K482)</f>
        <v>1</v>
      </c>
    </row>
    <row r="484" spans="1:10" ht="12" customHeight="1">
      <c r="A484" s="113" t="str">
        <f>A17</f>
        <v>Less Minimum Value Loss</v>
      </c>
      <c r="H484" s="112">
        <v>0</v>
      </c>
      <c r="I484" s="118">
        <v>0</v>
      </c>
      <c r="J484" s="117">
        <v>0</v>
      </c>
    </row>
    <row r="485" spans="1:10" ht="12" customHeight="1">
      <c r="A485" s="113" t="s">
        <v>174</v>
      </c>
      <c r="H485" s="118">
        <v>-44300</v>
      </c>
      <c r="I485" s="118">
        <v>-45520</v>
      </c>
      <c r="J485" s="117">
        <f t="shared" si="56"/>
        <v>0.027539503386004513</v>
      </c>
    </row>
    <row r="486" spans="1:10" ht="12" customHeight="1">
      <c r="A486" s="113" t="s">
        <v>49</v>
      </c>
      <c r="H486" s="118">
        <v>-441720</v>
      </c>
      <c r="I486" s="118">
        <v>-451470</v>
      </c>
      <c r="J486" s="117">
        <f t="shared" si="56"/>
        <v>0.022072806302635153</v>
      </c>
    </row>
    <row r="487" spans="1:10" ht="12" customHeight="1">
      <c r="A487" s="294" t="s">
        <v>50</v>
      </c>
      <c r="B487" s="301"/>
      <c r="C487" s="392"/>
      <c r="D487" s="301"/>
      <c r="E487" s="301"/>
      <c r="F487" s="392"/>
      <c r="G487" s="301"/>
      <c r="H487" s="283">
        <f>SUM(H483:H486)</f>
        <v>232620510</v>
      </c>
      <c r="I487" s="302">
        <f>SUM(I483:I486)</f>
        <v>206224946</v>
      </c>
      <c r="J487" s="303">
        <f t="shared" si="56"/>
        <v>-0.11347049320801507</v>
      </c>
    </row>
    <row r="488" spans="1:10" ht="12" customHeight="1">
      <c r="A488" s="113" t="s">
        <v>127</v>
      </c>
      <c r="H488" s="120">
        <v>-53960</v>
      </c>
      <c r="I488" s="120">
        <v>-58100</v>
      </c>
      <c r="J488" s="117">
        <f>(I488-H488)/H488</f>
        <v>0.07672349888806523</v>
      </c>
    </row>
    <row r="489" spans="1:10" ht="12" customHeight="1">
      <c r="A489" s="113" t="s">
        <v>78</v>
      </c>
      <c r="H489" s="120">
        <v>-130750</v>
      </c>
      <c r="I489" s="120">
        <v>-130750</v>
      </c>
      <c r="J489" s="117">
        <v>0</v>
      </c>
    </row>
    <row r="490" spans="1:10" ht="12" customHeight="1">
      <c r="A490" s="113" t="s">
        <v>128</v>
      </c>
      <c r="H490" s="120">
        <v>0</v>
      </c>
      <c r="I490" s="120">
        <v>0</v>
      </c>
      <c r="J490" s="117">
        <v>0</v>
      </c>
    </row>
    <row r="491" spans="1:10" ht="12" customHeight="1">
      <c r="A491" s="113" t="s">
        <v>157</v>
      </c>
      <c r="H491" s="118">
        <v>-11934730</v>
      </c>
      <c r="I491" s="118">
        <v>-12013190</v>
      </c>
      <c r="J491" s="117">
        <f>(I491-H491)/H491</f>
        <v>0.006574090909471768</v>
      </c>
    </row>
    <row r="492" spans="1:10" ht="12" customHeight="1">
      <c r="A492" s="113" t="s">
        <v>53</v>
      </c>
      <c r="H492" s="118">
        <v>0</v>
      </c>
      <c r="I492" s="118">
        <v>0</v>
      </c>
      <c r="J492" s="117">
        <v>0</v>
      </c>
    </row>
    <row r="493" spans="1:10" ht="12" customHeight="1">
      <c r="A493" s="113" t="s">
        <v>54</v>
      </c>
      <c r="H493" s="118">
        <v>0</v>
      </c>
      <c r="I493" s="118">
        <v>0</v>
      </c>
      <c r="J493" s="117">
        <v>0</v>
      </c>
    </row>
    <row r="494" spans="1:10" ht="12" customHeight="1">
      <c r="A494" s="113" t="s">
        <v>55</v>
      </c>
      <c r="H494" s="118">
        <v>0</v>
      </c>
      <c r="I494" s="118">
        <v>0</v>
      </c>
      <c r="J494" s="117">
        <v>0</v>
      </c>
    </row>
    <row r="495" spans="1:10" ht="12" customHeight="1">
      <c r="A495" s="113" t="s">
        <v>56</v>
      </c>
      <c r="H495" s="118">
        <v>-451860</v>
      </c>
      <c r="I495" s="118">
        <v>-569310</v>
      </c>
      <c r="J495" s="117">
        <f>(I495-H495)/H495</f>
        <v>0.259925640685168</v>
      </c>
    </row>
    <row r="496" spans="1:10" ht="12" customHeight="1">
      <c r="A496" s="113" t="s">
        <v>57</v>
      </c>
      <c r="H496" s="118">
        <v>0</v>
      </c>
      <c r="I496" s="118">
        <v>0</v>
      </c>
      <c r="J496" s="117">
        <v>0</v>
      </c>
    </row>
    <row r="497" spans="1:10" ht="12" customHeight="1">
      <c r="A497" s="113" t="s">
        <v>58</v>
      </c>
      <c r="H497" s="118">
        <v>-438000</v>
      </c>
      <c r="I497" s="118">
        <v>-415500</v>
      </c>
      <c r="J497" s="117">
        <f>(I497-H497)/H497</f>
        <v>-0.05136986301369863</v>
      </c>
    </row>
    <row r="498" spans="1:10" ht="12" customHeight="1">
      <c r="A498" s="113" t="s">
        <v>59</v>
      </c>
      <c r="H498" s="120">
        <v>0</v>
      </c>
      <c r="I498" s="120">
        <v>0</v>
      </c>
      <c r="J498" s="117">
        <v>0</v>
      </c>
    </row>
    <row r="499" spans="1:10" ht="12" customHeight="1">
      <c r="A499" s="294" t="s">
        <v>60</v>
      </c>
      <c r="B499" s="301"/>
      <c r="C499" s="392"/>
      <c r="D499" s="301"/>
      <c r="E499" s="301"/>
      <c r="F499" s="392"/>
      <c r="G499" s="301"/>
      <c r="H499" s="283">
        <f>SUM(H487:H498)</f>
        <v>219611210</v>
      </c>
      <c r="I499" s="302">
        <f>SUM(I487:I498)</f>
        <v>193038096</v>
      </c>
      <c r="J499" s="303">
        <f>(I499-H499)/H499</f>
        <v>-0.12100071758631993</v>
      </c>
    </row>
    <row r="500" spans="1:12" ht="12" customHeight="1">
      <c r="A500" s="121" t="s">
        <v>185</v>
      </c>
      <c r="E500" s="141">
        <v>0.20114</v>
      </c>
      <c r="F500" s="138">
        <v>0.22882</v>
      </c>
      <c r="G500" s="123">
        <f>(F500-E500)/E500</f>
        <v>0.13761559113055574</v>
      </c>
      <c r="H500" s="124"/>
      <c r="I500" s="125"/>
      <c r="K500" s="146"/>
      <c r="L500" s="146"/>
    </row>
    <row r="501" spans="1:12" ht="12" customHeight="1">
      <c r="A501" s="146"/>
      <c r="B501" s="104"/>
      <c r="C501" s="108"/>
      <c r="D501" s="104"/>
      <c r="E501" s="104"/>
      <c r="F501" s="108"/>
      <c r="G501" s="123"/>
      <c r="H501" s="124"/>
      <c r="I501" s="125"/>
      <c r="J501" s="146"/>
      <c r="K501" s="146"/>
      <c r="L501" s="146"/>
    </row>
    <row r="502" spans="1:10" ht="12" customHeight="1">
      <c r="A502" s="146"/>
      <c r="G502" s="123"/>
      <c r="H502" s="146"/>
      <c r="I502" s="108"/>
      <c r="J502" s="146"/>
    </row>
    <row r="503" spans="1:10" ht="12" customHeight="1">
      <c r="A503" s="121" t="s">
        <v>62</v>
      </c>
      <c r="H503" s="318">
        <f>(H499*E500)/100</f>
        <v>441725.9877940001</v>
      </c>
      <c r="I503" s="131">
        <f>(I499*F500)/100</f>
        <v>441709.77126719995</v>
      </c>
      <c r="J503" s="123">
        <f>(I503-H503)/H503</f>
        <v>-3.6711733627247935E-05</v>
      </c>
    </row>
    <row r="504" spans="1:10" ht="12" customHeight="1">
      <c r="A504" s="121" t="s">
        <v>18</v>
      </c>
      <c r="H504" s="112">
        <v>633890</v>
      </c>
      <c r="I504" s="112">
        <v>542260</v>
      </c>
      <c r="J504" s="123">
        <f>(I504-H504)/H504</f>
        <v>-0.14455189386171102</v>
      </c>
    </row>
    <row r="505" spans="1:10" ht="12" customHeight="1">
      <c r="A505" s="121" t="s">
        <v>17</v>
      </c>
      <c r="H505" s="112">
        <v>4099</v>
      </c>
      <c r="I505" s="112">
        <v>4098</v>
      </c>
      <c r="J505" s="123">
        <f>(I505-H505)/H505</f>
        <v>-0.00024396194193705782</v>
      </c>
    </row>
    <row r="506" spans="1:10" ht="12" customHeight="1">
      <c r="A506" s="121"/>
      <c r="H506" s="118"/>
      <c r="J506" s="123"/>
    </row>
    <row r="507" spans="3:49" s="136" customFormat="1" ht="12" customHeight="1" thickBot="1">
      <c r="C507" s="140"/>
      <c r="F507" s="140"/>
      <c r="H507" s="331"/>
      <c r="I507" s="140"/>
      <c r="J507" s="206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  <c r="AW507" s="144"/>
    </row>
    <row r="508" spans="1:49" s="136" customFormat="1" ht="12" customHeight="1">
      <c r="A508" s="290" t="s">
        <v>88</v>
      </c>
      <c r="B508" s="95" t="s">
        <v>32</v>
      </c>
      <c r="C508" s="372"/>
      <c r="D508" s="97"/>
      <c r="E508" s="98" t="s">
        <v>33</v>
      </c>
      <c r="F508" s="372"/>
      <c r="G508" s="97"/>
      <c r="H508" s="95" t="s">
        <v>34</v>
      </c>
      <c r="I508" s="372"/>
      <c r="J508" s="97"/>
      <c r="K508" s="332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/>
      <c r="AS508" s="144"/>
      <c r="AT508" s="144"/>
      <c r="AU508" s="144"/>
      <c r="AV508" s="144"/>
      <c r="AW508" s="144"/>
    </row>
    <row r="509" spans="1:11" ht="12" customHeight="1">
      <c r="A509" s="9" t="s">
        <v>35</v>
      </c>
      <c r="B509" s="285" t="s">
        <v>200</v>
      </c>
      <c r="C509" s="308" t="s">
        <v>207</v>
      </c>
      <c r="D509" s="100" t="s">
        <v>67</v>
      </c>
      <c r="E509" s="285" t="str">
        <f>B509</f>
        <v>2018 Certified</v>
      </c>
      <c r="F509" s="308" t="s">
        <v>207</v>
      </c>
      <c r="G509" s="100" t="s">
        <v>67</v>
      </c>
      <c r="H509" s="101" t="str">
        <f>B509</f>
        <v>2018 Certified</v>
      </c>
      <c r="I509" s="384" t="s">
        <v>204</v>
      </c>
      <c r="J509" s="100" t="s">
        <v>67</v>
      </c>
      <c r="K509" s="347" t="s">
        <v>71</v>
      </c>
    </row>
    <row r="510" spans="1:49" s="136" customFormat="1" ht="12" customHeight="1">
      <c r="A510" s="9"/>
      <c r="B510" s="103"/>
      <c r="C510" s="108"/>
      <c r="D510" s="105"/>
      <c r="E510" s="104"/>
      <c r="F510" s="108"/>
      <c r="G510" s="105"/>
      <c r="H510" s="103"/>
      <c r="I510" s="108"/>
      <c r="J510" s="105"/>
      <c r="K510" s="105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</row>
    <row r="511" spans="1:49" s="136" customFormat="1" ht="12" customHeight="1">
      <c r="A511" s="9" t="s">
        <v>36</v>
      </c>
      <c r="B511" s="107">
        <v>0</v>
      </c>
      <c r="C511" s="109">
        <v>0</v>
      </c>
      <c r="D511" s="105"/>
      <c r="E511" s="109">
        <v>374258270</v>
      </c>
      <c r="F511" s="109">
        <v>375093461</v>
      </c>
      <c r="G511" s="110">
        <f>(F511-E511)/E511</f>
        <v>0.002231589965934487</v>
      </c>
      <c r="H511" s="107">
        <f aca="true" t="shared" si="57" ref="H511:H521">B511+E511</f>
        <v>374258270</v>
      </c>
      <c r="I511" s="108">
        <f aca="true" t="shared" si="58" ref="I511:I521">C511+F511</f>
        <v>375093461</v>
      </c>
      <c r="J511" s="110">
        <f>(I511-H511)/H511</f>
        <v>0.002231589965934487</v>
      </c>
      <c r="K511" s="153">
        <f>I511/I522</f>
        <v>0.3966841221193022</v>
      </c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  <c r="AW511" s="144"/>
    </row>
    <row r="512" spans="1:49" s="136" customFormat="1" ht="12" customHeight="1">
      <c r="A512" s="9" t="s">
        <v>37</v>
      </c>
      <c r="B512" s="107">
        <v>0</v>
      </c>
      <c r="C512" s="109">
        <v>0</v>
      </c>
      <c r="D512" s="105"/>
      <c r="E512" s="109">
        <v>3149640</v>
      </c>
      <c r="F512" s="109">
        <v>3185208</v>
      </c>
      <c r="G512" s="110">
        <f>(F512-E512)/E512</f>
        <v>0.011292719167904903</v>
      </c>
      <c r="H512" s="107">
        <f t="shared" si="57"/>
        <v>3149640</v>
      </c>
      <c r="I512" s="108">
        <f t="shared" si="58"/>
        <v>3185208</v>
      </c>
      <c r="J512" s="110">
        <f>(I512-H512)/H512</f>
        <v>0.011292719167904903</v>
      </c>
      <c r="K512" s="153">
        <f>I512/I522</f>
        <v>0.0033685509629488805</v>
      </c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</row>
    <row r="513" spans="1:49" s="136" customFormat="1" ht="12" customHeight="1">
      <c r="A513" s="9" t="s">
        <v>38</v>
      </c>
      <c r="B513" s="107">
        <v>0</v>
      </c>
      <c r="C513" s="109">
        <v>0</v>
      </c>
      <c r="D513" s="105"/>
      <c r="E513" s="109">
        <v>4968710</v>
      </c>
      <c r="F513" s="109">
        <v>1024307</v>
      </c>
      <c r="G513" s="110">
        <f>(F513-E513)/E513</f>
        <v>-0.7938485039376417</v>
      </c>
      <c r="H513" s="107">
        <f t="shared" si="57"/>
        <v>4968710</v>
      </c>
      <c r="I513" s="108">
        <f t="shared" si="58"/>
        <v>1024307</v>
      </c>
      <c r="J513" s="110">
        <f aca="true" t="shared" si="59" ref="J513:J519">(I513-H513)/H513</f>
        <v>-0.7938485039376417</v>
      </c>
      <c r="K513" s="153">
        <f>I513/I522</f>
        <v>0.001083266879652845</v>
      </c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  <c r="AU513" s="144"/>
      <c r="AV513" s="144"/>
      <c r="AW513" s="144"/>
    </row>
    <row r="514" spans="1:49" s="136" customFormat="1" ht="12" customHeight="1">
      <c r="A514" s="9" t="s">
        <v>39</v>
      </c>
      <c r="B514" s="107">
        <v>0</v>
      </c>
      <c r="C514" s="109">
        <v>0</v>
      </c>
      <c r="D514" s="105"/>
      <c r="E514" s="109">
        <v>270426180</v>
      </c>
      <c r="F514" s="109">
        <v>269035572</v>
      </c>
      <c r="G514" s="110">
        <f>(F514-E514)/E514</f>
        <v>-0.005142283191664357</v>
      </c>
      <c r="H514" s="107">
        <f t="shared" si="57"/>
        <v>270426180</v>
      </c>
      <c r="I514" s="108">
        <f t="shared" si="58"/>
        <v>269035572</v>
      </c>
      <c r="J514" s="110">
        <f t="shared" si="59"/>
        <v>-0.005142283191664357</v>
      </c>
      <c r="K514" s="153">
        <f>I514/I522</f>
        <v>0.2845214614330062</v>
      </c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</row>
    <row r="515" spans="1:49" s="136" customFormat="1" ht="12" customHeight="1">
      <c r="A515" s="9" t="s">
        <v>40</v>
      </c>
      <c r="B515" s="107">
        <v>33056960</v>
      </c>
      <c r="C515" s="109">
        <v>28031584</v>
      </c>
      <c r="D515" s="153">
        <f>(C515-B515)/B515</f>
        <v>-0.15202172250563875</v>
      </c>
      <c r="E515" s="109">
        <v>56753510</v>
      </c>
      <c r="F515" s="109">
        <v>28295788</v>
      </c>
      <c r="G515" s="110">
        <f>(F515-E515)/E515</f>
        <v>-0.5014266430393468</v>
      </c>
      <c r="H515" s="107">
        <f t="shared" si="57"/>
        <v>89810470</v>
      </c>
      <c r="I515" s="108">
        <f t="shared" si="58"/>
        <v>56327372</v>
      </c>
      <c r="J515" s="110">
        <f t="shared" si="59"/>
        <v>-0.372819538746429</v>
      </c>
      <c r="K515" s="153">
        <f>I515/I522</f>
        <v>0.05956961780548706</v>
      </c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  <c r="AW515" s="144"/>
    </row>
    <row r="516" spans="1:49" s="136" customFormat="1" ht="12" customHeight="1">
      <c r="A516" s="9" t="s">
        <v>41</v>
      </c>
      <c r="B516" s="152">
        <v>9959450</v>
      </c>
      <c r="C516" s="109">
        <v>10234257</v>
      </c>
      <c r="D516" s="110">
        <f>(C516-B516)/B516</f>
        <v>0.02759258794411338</v>
      </c>
      <c r="E516" s="109">
        <v>0</v>
      </c>
      <c r="F516" s="109">
        <v>0</v>
      </c>
      <c r="G516" s="110">
        <v>0</v>
      </c>
      <c r="H516" s="107">
        <f t="shared" si="57"/>
        <v>9959450</v>
      </c>
      <c r="I516" s="108">
        <f t="shared" si="58"/>
        <v>10234257</v>
      </c>
      <c r="J516" s="110">
        <f t="shared" si="59"/>
        <v>0.02759258794411338</v>
      </c>
      <c r="K516" s="153">
        <f>I516/I522</f>
        <v>0.010823348513634375</v>
      </c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</row>
    <row r="517" spans="1:49" s="136" customFormat="1" ht="12" customHeight="1">
      <c r="A517" s="9" t="s">
        <v>42</v>
      </c>
      <c r="B517" s="152">
        <v>31341930</v>
      </c>
      <c r="C517" s="109">
        <v>27354519</v>
      </c>
      <c r="D517" s="110">
        <f>(C517-B517)/B517</f>
        <v>-0.1272228927829269</v>
      </c>
      <c r="E517" s="109">
        <v>203540</v>
      </c>
      <c r="F517" s="109">
        <v>211945</v>
      </c>
      <c r="G517" s="110">
        <f aca="true" t="shared" si="60" ref="G517:G522">(F517-E517)/E517</f>
        <v>0.041294094526874325</v>
      </c>
      <c r="H517" s="107">
        <f t="shared" si="57"/>
        <v>31545470</v>
      </c>
      <c r="I517" s="108">
        <f t="shared" si="58"/>
        <v>27566464</v>
      </c>
      <c r="J517" s="110">
        <f t="shared" si="59"/>
        <v>-0.12613557509208137</v>
      </c>
      <c r="K517" s="153">
        <f>I517/I522</f>
        <v>0.029153210356213988</v>
      </c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  <c r="AW517" s="144"/>
    </row>
    <row r="518" spans="1:49" s="136" customFormat="1" ht="12" customHeight="1">
      <c r="A518" s="9" t="s">
        <v>43</v>
      </c>
      <c r="B518" s="152">
        <v>114434700</v>
      </c>
      <c r="C518" s="109">
        <v>102442689</v>
      </c>
      <c r="D518" s="110">
        <f>(C518-B518)/B518</f>
        <v>-0.10479348484332113</v>
      </c>
      <c r="E518" s="109">
        <v>83011060</v>
      </c>
      <c r="F518" s="109">
        <v>79186813</v>
      </c>
      <c r="G518" s="110">
        <f t="shared" si="60"/>
        <v>-0.046069126210410996</v>
      </c>
      <c r="H518" s="107">
        <f t="shared" si="57"/>
        <v>197445760</v>
      </c>
      <c r="I518" s="108">
        <f t="shared" si="58"/>
        <v>181629502</v>
      </c>
      <c r="J518" s="110">
        <f t="shared" si="59"/>
        <v>-0.08010431826948322</v>
      </c>
      <c r="K518" s="153">
        <f>I518/I522</f>
        <v>0.19208423244636633</v>
      </c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</row>
    <row r="519" spans="1:49" s="136" customFormat="1" ht="12" customHeight="1">
      <c r="A519" s="9" t="s">
        <v>44</v>
      </c>
      <c r="B519" s="107">
        <v>0</v>
      </c>
      <c r="C519" s="109">
        <v>0</v>
      </c>
      <c r="D519" s="110"/>
      <c r="E519" s="109">
        <v>9723450</v>
      </c>
      <c r="F519" s="109">
        <v>9535925</v>
      </c>
      <c r="G519" s="110">
        <f t="shared" si="60"/>
        <v>-0.01928585018691925</v>
      </c>
      <c r="H519" s="107">
        <f t="shared" si="57"/>
        <v>9723450</v>
      </c>
      <c r="I519" s="108">
        <f t="shared" si="58"/>
        <v>9535925</v>
      </c>
      <c r="J519" s="110">
        <f t="shared" si="59"/>
        <v>-0.01928585018691925</v>
      </c>
      <c r="K519" s="153">
        <f>I519/I522</f>
        <v>0.010084819999622725</v>
      </c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</row>
    <row r="520" spans="1:49" s="136" customFormat="1" ht="12" customHeight="1">
      <c r="A520" s="9" t="s">
        <v>45</v>
      </c>
      <c r="B520" s="107">
        <v>0</v>
      </c>
      <c r="C520" s="109">
        <v>0</v>
      </c>
      <c r="D520" s="110"/>
      <c r="E520" s="109">
        <v>2527370</v>
      </c>
      <c r="F520" s="109">
        <v>2784046</v>
      </c>
      <c r="G520" s="110">
        <f t="shared" si="60"/>
        <v>0.10155853713544119</v>
      </c>
      <c r="H520" s="107">
        <f t="shared" si="57"/>
        <v>2527370</v>
      </c>
      <c r="I520" s="108">
        <f t="shared" si="58"/>
        <v>2784046</v>
      </c>
      <c r="J520" s="110">
        <f>(I520-H520)/H520</f>
        <v>0.10155853713544119</v>
      </c>
      <c r="K520" s="153">
        <f>I520/I522</f>
        <v>0.002944297777160543</v>
      </c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</row>
    <row r="521" spans="1:49" s="136" customFormat="1" ht="12" customHeight="1">
      <c r="A521" s="9" t="s">
        <v>46</v>
      </c>
      <c r="B521" s="107">
        <v>0</v>
      </c>
      <c r="C521" s="109">
        <v>0</v>
      </c>
      <c r="D521" s="110"/>
      <c r="E521" s="309">
        <v>9794570</v>
      </c>
      <c r="F521" s="309">
        <v>9156043</v>
      </c>
      <c r="G521" s="110">
        <f t="shared" si="60"/>
        <v>-0.06519193798196347</v>
      </c>
      <c r="H521" s="107">
        <f t="shared" si="57"/>
        <v>9794570</v>
      </c>
      <c r="I521" s="108">
        <f t="shared" si="58"/>
        <v>9156043</v>
      </c>
      <c r="J521" s="292">
        <f aca="true" t="shared" si="61" ref="J521:J527">(I521-H521)/H521</f>
        <v>-0.06519193798196347</v>
      </c>
      <c r="K521" s="320">
        <f>I521/I522</f>
        <v>0.00968307170660483</v>
      </c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</row>
    <row r="522" spans="1:49" s="136" customFormat="1" ht="12" customHeight="1" thickBot="1">
      <c r="A522" s="294" t="s">
        <v>47</v>
      </c>
      <c r="B522" s="295">
        <f>SUM(B511:B521)</f>
        <v>188793040</v>
      </c>
      <c r="C522" s="296">
        <f>SUM(C511:C521)</f>
        <v>168063049</v>
      </c>
      <c r="D522" s="297">
        <f>(C522-B522)/B522</f>
        <v>-0.10980272895653356</v>
      </c>
      <c r="E522" s="296">
        <f>SUM(E511:E521)</f>
        <v>814816300</v>
      </c>
      <c r="F522" s="296">
        <f>SUM(F511:F521)</f>
        <v>777509108</v>
      </c>
      <c r="G522" s="297">
        <f t="shared" si="60"/>
        <v>-0.045786015817307534</v>
      </c>
      <c r="H522" s="314">
        <f>SUM(H511:H521)</f>
        <v>1003609340</v>
      </c>
      <c r="I522" s="311">
        <f>SUM(I511:I521)</f>
        <v>945572157</v>
      </c>
      <c r="J522" s="297">
        <f t="shared" si="61"/>
        <v>-0.05782846042465089</v>
      </c>
      <c r="K522" s="278">
        <f>SUM(K511:K521)</f>
        <v>1</v>
      </c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</row>
    <row r="523" spans="1:49" s="136" customFormat="1" ht="12" customHeight="1">
      <c r="A523" s="113" t="str">
        <f>A55</f>
        <v>Less Minimum Value Loss</v>
      </c>
      <c r="B523" s="9"/>
      <c r="C523" s="112"/>
      <c r="D523" s="9"/>
      <c r="E523" s="9"/>
      <c r="F523" s="112"/>
      <c r="G523" s="9"/>
      <c r="H523" s="112">
        <v>0</v>
      </c>
      <c r="I523" s="118">
        <v>0</v>
      </c>
      <c r="J523" s="117">
        <v>0</v>
      </c>
      <c r="K523" s="9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</row>
    <row r="524" spans="1:49" s="136" customFormat="1" ht="12" customHeight="1">
      <c r="A524" s="113" t="s">
        <v>174</v>
      </c>
      <c r="B524" s="9"/>
      <c r="C524" s="112"/>
      <c r="D524" s="9"/>
      <c r="E524" s="9"/>
      <c r="F524" s="112"/>
      <c r="G524" s="9"/>
      <c r="H524" s="118">
        <v>-1394959</v>
      </c>
      <c r="I524" s="118">
        <v>-724950</v>
      </c>
      <c r="J524" s="117">
        <f t="shared" si="61"/>
        <v>-0.4803073065229874</v>
      </c>
      <c r="K524" s="9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</row>
    <row r="525" spans="1:49" s="136" customFormat="1" ht="12" customHeight="1">
      <c r="A525" s="113" t="s">
        <v>49</v>
      </c>
      <c r="B525" s="9"/>
      <c r="C525" s="112"/>
      <c r="D525" s="9"/>
      <c r="E525" s="9"/>
      <c r="F525" s="112"/>
      <c r="G525" s="9"/>
      <c r="H525" s="118">
        <v>-50846570</v>
      </c>
      <c r="I525" s="118">
        <v>-45382690</v>
      </c>
      <c r="J525" s="117">
        <f t="shared" si="61"/>
        <v>-0.10745818252833966</v>
      </c>
      <c r="K525" s="9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</row>
    <row r="526" spans="1:49" s="136" customFormat="1" ht="12" customHeight="1">
      <c r="A526" s="294" t="s">
        <v>50</v>
      </c>
      <c r="B526" s="301"/>
      <c r="C526" s="392"/>
      <c r="D526" s="301"/>
      <c r="E526" s="301"/>
      <c r="F526" s="392"/>
      <c r="G526" s="301"/>
      <c r="H526" s="283">
        <f>SUM(H522:H525)</f>
        <v>951367811</v>
      </c>
      <c r="I526" s="302">
        <f>SUM(I522:I525)</f>
        <v>899464517</v>
      </c>
      <c r="J526" s="303">
        <f t="shared" si="61"/>
        <v>-0.05455649581568616</v>
      </c>
      <c r="K526" s="9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</row>
    <row r="527" spans="1:49" s="136" customFormat="1" ht="12" customHeight="1">
      <c r="A527" s="113" t="s">
        <v>127</v>
      </c>
      <c r="B527" s="9"/>
      <c r="C527" s="112"/>
      <c r="D527" s="9"/>
      <c r="E527" s="9"/>
      <c r="F527" s="112"/>
      <c r="G527" s="9"/>
      <c r="H527" s="120">
        <v>-224360</v>
      </c>
      <c r="I527" s="120">
        <v>-271360</v>
      </c>
      <c r="J527" s="117">
        <f t="shared" si="61"/>
        <v>0.2094847566411125</v>
      </c>
      <c r="K527" s="9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</row>
    <row r="528" spans="1:49" s="136" customFormat="1" ht="12" customHeight="1">
      <c r="A528" s="113" t="s">
        <v>78</v>
      </c>
      <c r="B528" s="9"/>
      <c r="C528" s="112"/>
      <c r="D528" s="9"/>
      <c r="E528" s="9"/>
      <c r="F528" s="112"/>
      <c r="G528" s="9"/>
      <c r="H528" s="120">
        <v>-34090</v>
      </c>
      <c r="I528" s="120">
        <v>-34090</v>
      </c>
      <c r="J528" s="117">
        <v>1</v>
      </c>
      <c r="K528" s="9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  <c r="AW528" s="144"/>
    </row>
    <row r="529" spans="1:49" s="136" customFormat="1" ht="12" customHeight="1">
      <c r="A529" s="113" t="s">
        <v>128</v>
      </c>
      <c r="B529" s="9"/>
      <c r="C529" s="112"/>
      <c r="D529" s="9"/>
      <c r="E529" s="9"/>
      <c r="F529" s="112"/>
      <c r="G529" s="9"/>
      <c r="H529" s="120">
        <v>0</v>
      </c>
      <c r="I529" s="120">
        <v>0</v>
      </c>
      <c r="J529" s="117">
        <v>0</v>
      </c>
      <c r="K529" s="9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  <c r="AW529" s="144"/>
    </row>
    <row r="530" spans="1:49" s="136" customFormat="1" ht="12" customHeight="1">
      <c r="A530" s="113" t="s">
        <v>157</v>
      </c>
      <c r="B530" s="9"/>
      <c r="C530" s="112"/>
      <c r="D530" s="9"/>
      <c r="E530" s="9"/>
      <c r="F530" s="112"/>
      <c r="G530" s="9"/>
      <c r="H530" s="118">
        <v>-9879360</v>
      </c>
      <c r="I530" s="118">
        <v>-9645690</v>
      </c>
      <c r="J530" s="117">
        <f>(I530-H530)/H530</f>
        <v>-0.02365234185210378</v>
      </c>
      <c r="K530" s="9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  <c r="AW530" s="144"/>
    </row>
    <row r="531" spans="1:49" s="136" customFormat="1" ht="12" customHeight="1">
      <c r="A531" s="113" t="s">
        <v>53</v>
      </c>
      <c r="B531" s="9"/>
      <c r="C531" s="112"/>
      <c r="D531" s="9"/>
      <c r="E531" s="9"/>
      <c r="F531" s="112"/>
      <c r="G531" s="9"/>
      <c r="H531" s="118">
        <v>0</v>
      </c>
      <c r="I531" s="118">
        <v>0</v>
      </c>
      <c r="J531" s="117">
        <v>0</v>
      </c>
      <c r="K531" s="9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  <c r="AW531" s="144"/>
    </row>
    <row r="532" spans="1:49" s="136" customFormat="1" ht="12" customHeight="1">
      <c r="A532" s="113" t="s">
        <v>54</v>
      </c>
      <c r="B532" s="9"/>
      <c r="C532" s="112"/>
      <c r="D532" s="9"/>
      <c r="E532" s="9"/>
      <c r="F532" s="112"/>
      <c r="G532" s="9"/>
      <c r="H532" s="118">
        <v>0</v>
      </c>
      <c r="I532" s="118">
        <v>0</v>
      </c>
      <c r="J532" s="117">
        <v>0</v>
      </c>
      <c r="K532" s="9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</row>
    <row r="533" spans="1:49" s="136" customFormat="1" ht="12" customHeight="1">
      <c r="A533" s="113" t="s">
        <v>55</v>
      </c>
      <c r="B533" s="9"/>
      <c r="C533" s="112"/>
      <c r="D533" s="9"/>
      <c r="E533" s="9"/>
      <c r="F533" s="112"/>
      <c r="G533" s="9"/>
      <c r="H533" s="118">
        <v>0</v>
      </c>
      <c r="I533" s="118">
        <v>0</v>
      </c>
      <c r="J533" s="117">
        <v>0</v>
      </c>
      <c r="K533" s="9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  <c r="AQ533" s="144"/>
      <c r="AR533" s="144"/>
      <c r="AS533" s="144"/>
      <c r="AT533" s="144"/>
      <c r="AU533" s="144"/>
      <c r="AV533" s="144"/>
      <c r="AW533" s="144"/>
    </row>
    <row r="534" spans="1:49" s="136" customFormat="1" ht="12" customHeight="1">
      <c r="A534" s="113" t="s">
        <v>56</v>
      </c>
      <c r="B534" s="9"/>
      <c r="C534" s="112"/>
      <c r="D534" s="9"/>
      <c r="E534" s="9"/>
      <c r="F534" s="112"/>
      <c r="G534" s="9"/>
      <c r="H534" s="118">
        <v>-3360906</v>
      </c>
      <c r="I534" s="118">
        <v>-3835956</v>
      </c>
      <c r="J534" s="117">
        <f>(I534-H534)/H534</f>
        <v>0.14134581568184293</v>
      </c>
      <c r="K534" s="9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  <c r="AQ534" s="144"/>
      <c r="AR534" s="144"/>
      <c r="AS534" s="144"/>
      <c r="AT534" s="144"/>
      <c r="AU534" s="144"/>
      <c r="AV534" s="144"/>
      <c r="AW534" s="144"/>
    </row>
    <row r="535" spans="1:49" s="136" customFormat="1" ht="12" customHeight="1">
      <c r="A535" s="113" t="s">
        <v>57</v>
      </c>
      <c r="B535" s="9"/>
      <c r="C535" s="112"/>
      <c r="D535" s="9"/>
      <c r="E535" s="9"/>
      <c r="F535" s="112"/>
      <c r="G535" s="9"/>
      <c r="H535" s="120">
        <v>-97392945</v>
      </c>
      <c r="I535" s="120">
        <v>-99128489</v>
      </c>
      <c r="J535" s="117">
        <f>(I535-H535)/H535</f>
        <v>0.017820017661443546</v>
      </c>
      <c r="K535" s="9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  <c r="AQ535" s="144"/>
      <c r="AR535" s="144"/>
      <c r="AS535" s="144"/>
      <c r="AT535" s="144"/>
      <c r="AU535" s="144"/>
      <c r="AV535" s="144"/>
      <c r="AW535" s="144"/>
    </row>
    <row r="536" spans="1:49" s="136" customFormat="1" ht="12" customHeight="1">
      <c r="A536" s="113" t="s">
        <v>58</v>
      </c>
      <c r="B536" s="9"/>
      <c r="C536" s="112"/>
      <c r="D536" s="9"/>
      <c r="E536" s="9"/>
      <c r="F536" s="112"/>
      <c r="G536" s="9"/>
      <c r="H536" s="120">
        <v>-5359674</v>
      </c>
      <c r="I536" s="120">
        <v>-5311157</v>
      </c>
      <c r="J536" s="117">
        <f>(I536-H536)/H536</f>
        <v>-0.009052229669192566</v>
      </c>
      <c r="K536" s="9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</row>
    <row r="537" spans="1:49" s="136" customFormat="1" ht="12" customHeight="1">
      <c r="A537" s="113" t="s">
        <v>59</v>
      </c>
      <c r="B537" s="9"/>
      <c r="C537" s="112"/>
      <c r="D537" s="9"/>
      <c r="E537" s="9"/>
      <c r="F537" s="112"/>
      <c r="G537" s="9"/>
      <c r="H537" s="120">
        <v>0</v>
      </c>
      <c r="I537" s="120">
        <v>0</v>
      </c>
      <c r="J537" s="117">
        <v>0</v>
      </c>
      <c r="K537" s="9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  <c r="AQ537" s="144"/>
      <c r="AR537" s="144"/>
      <c r="AS537" s="144"/>
      <c r="AT537" s="144"/>
      <c r="AU537" s="144"/>
      <c r="AV537" s="144"/>
      <c r="AW537" s="144"/>
    </row>
    <row r="538" spans="1:49" s="136" customFormat="1" ht="12" customHeight="1">
      <c r="A538" s="294" t="s">
        <v>60</v>
      </c>
      <c r="B538" s="301"/>
      <c r="C538" s="392"/>
      <c r="D538" s="301"/>
      <c r="E538" s="301"/>
      <c r="F538" s="392"/>
      <c r="G538" s="301"/>
      <c r="H538" s="283">
        <f>SUM(H526:H537)</f>
        <v>835116476</v>
      </c>
      <c r="I538" s="302">
        <f>SUM(I526:I537)</f>
        <v>781237775</v>
      </c>
      <c r="J538" s="303">
        <f>(I538-H538)/H538</f>
        <v>-0.06451639088485664</v>
      </c>
      <c r="K538" s="9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</row>
    <row r="539" spans="1:49" s="136" customFormat="1" ht="12" customHeight="1">
      <c r="A539" s="121" t="str">
        <f>A578</f>
        <v>Revenue Neutral Rate</v>
      </c>
      <c r="B539" s="9"/>
      <c r="C539" s="112"/>
      <c r="D539" s="9"/>
      <c r="E539" s="141">
        <v>0.1</v>
      </c>
      <c r="F539" s="395">
        <v>0.1069</v>
      </c>
      <c r="G539" s="123">
        <f>(F539-E539)/E539</f>
        <v>0.0689999999999999</v>
      </c>
      <c r="H539" s="124"/>
      <c r="I539" s="125"/>
      <c r="J539" s="9"/>
      <c r="K539" s="146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  <c r="AQ539" s="144"/>
      <c r="AR539" s="144"/>
      <c r="AS539" s="144"/>
      <c r="AT539" s="144"/>
      <c r="AU539" s="144"/>
      <c r="AV539" s="144"/>
      <c r="AW539" s="144"/>
    </row>
    <row r="540" spans="1:49" s="136" customFormat="1" ht="12" customHeight="1">
      <c r="A540" s="146"/>
      <c r="B540" s="104"/>
      <c r="C540" s="108"/>
      <c r="D540" s="104"/>
      <c r="E540" s="104"/>
      <c r="F540" s="108"/>
      <c r="G540" s="104"/>
      <c r="H540" s="124"/>
      <c r="I540" s="125"/>
      <c r="J540" s="146"/>
      <c r="K540" s="208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  <c r="AQ540" s="144"/>
      <c r="AR540" s="144"/>
      <c r="AS540" s="144"/>
      <c r="AT540" s="144"/>
      <c r="AU540" s="144"/>
      <c r="AV540" s="144"/>
      <c r="AW540" s="144"/>
    </row>
    <row r="541" spans="1:49" s="136" customFormat="1" ht="12" customHeight="1">
      <c r="A541" s="146"/>
      <c r="B541" s="9"/>
      <c r="C541" s="112"/>
      <c r="D541" s="9"/>
      <c r="E541" s="9"/>
      <c r="F541" s="112"/>
      <c r="G541" s="123"/>
      <c r="H541" s="146"/>
      <c r="I541" s="108"/>
      <c r="J541" s="146"/>
      <c r="K541" s="9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  <c r="AQ541" s="144"/>
      <c r="AR541" s="144"/>
      <c r="AS541" s="144"/>
      <c r="AT541" s="144"/>
      <c r="AU541" s="144"/>
      <c r="AV541" s="144"/>
      <c r="AW541" s="144"/>
    </row>
    <row r="542" spans="1:49" s="136" customFormat="1" ht="12" customHeight="1">
      <c r="A542" s="121" t="s">
        <v>62</v>
      </c>
      <c r="B542" s="9"/>
      <c r="C542" s="112"/>
      <c r="D542" s="9"/>
      <c r="E542" s="9"/>
      <c r="F542" s="112"/>
      <c r="G542" s="9"/>
      <c r="H542" s="318">
        <f>(H538*E539)/100</f>
        <v>835116.4760000001</v>
      </c>
      <c r="I542" s="131">
        <f>(I538*F539)/100</f>
        <v>835143.181475</v>
      </c>
      <c r="J542" s="123">
        <f>(I542-H542)/H542</f>
        <v>3.197814408807051E-05</v>
      </c>
      <c r="K542" s="9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</row>
    <row r="543" spans="1:49" s="136" customFormat="1" ht="12" customHeight="1">
      <c r="A543" s="121" t="s">
        <v>18</v>
      </c>
      <c r="B543" s="9"/>
      <c r="C543" s="112"/>
      <c r="D543" s="9"/>
      <c r="E543" s="9"/>
      <c r="F543" s="112"/>
      <c r="G543" s="9"/>
      <c r="H543" s="323">
        <v>12170766</v>
      </c>
      <c r="I543" s="323">
        <v>9010324</v>
      </c>
      <c r="J543" s="123">
        <f>(I543-H543)/H543</f>
        <v>-0.2596748635213264</v>
      </c>
      <c r="K543" s="9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  <c r="AQ543" s="144"/>
      <c r="AR543" s="144"/>
      <c r="AS543" s="144"/>
      <c r="AT543" s="144"/>
      <c r="AU543" s="144"/>
      <c r="AV543" s="144"/>
      <c r="AW543" s="144"/>
    </row>
    <row r="544" spans="1:49" s="136" customFormat="1" ht="12" customHeight="1">
      <c r="A544" s="121" t="s">
        <v>17</v>
      </c>
      <c r="B544" s="9"/>
      <c r="C544" s="112"/>
      <c r="D544" s="9"/>
      <c r="E544" s="9"/>
      <c r="F544" s="112"/>
      <c r="G544" s="9"/>
      <c r="H544" s="323">
        <v>15850</v>
      </c>
      <c r="I544" s="323">
        <v>15902</v>
      </c>
      <c r="J544" s="123">
        <f>(I544-H544)/H544</f>
        <v>0.003280757097791798</v>
      </c>
      <c r="K544" s="9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</row>
    <row r="545" spans="1:49" s="136" customFormat="1" ht="12" customHeight="1" thickBot="1">
      <c r="A545" s="121"/>
      <c r="B545" s="9"/>
      <c r="C545" s="112"/>
      <c r="D545" s="9"/>
      <c r="E545" s="9"/>
      <c r="F545" s="112"/>
      <c r="G545" s="9"/>
      <c r="H545" s="323"/>
      <c r="I545" s="323"/>
      <c r="J545" s="123"/>
      <c r="K545" s="9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</row>
    <row r="546" spans="1:49" s="136" customFormat="1" ht="12" customHeight="1" thickBot="1">
      <c r="A546" s="348"/>
      <c r="B546" s="349"/>
      <c r="C546" s="350"/>
      <c r="D546" s="349"/>
      <c r="E546" s="349"/>
      <c r="F546" s="350"/>
      <c r="G546" s="349"/>
      <c r="H546" s="350"/>
      <c r="I546" s="350"/>
      <c r="J546" s="351"/>
      <c r="K546" s="352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/>
      <c r="AV546" s="144"/>
      <c r="AW546" s="144"/>
    </row>
    <row r="547" spans="1:49" s="136" customFormat="1" ht="12" customHeight="1">
      <c r="A547" s="353" t="s">
        <v>87</v>
      </c>
      <c r="B547" s="95" t="s">
        <v>32</v>
      </c>
      <c r="C547" s="372"/>
      <c r="D547" s="97"/>
      <c r="E547" s="98" t="s">
        <v>33</v>
      </c>
      <c r="F547" s="372"/>
      <c r="G547" s="97"/>
      <c r="H547" s="95" t="s">
        <v>34</v>
      </c>
      <c r="I547" s="372"/>
      <c r="J547" s="96"/>
      <c r="K547" s="99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</row>
    <row r="548" spans="1:11" ht="12" customHeight="1">
      <c r="A548" s="103" t="s">
        <v>35</v>
      </c>
      <c r="B548" s="285" t="s">
        <v>200</v>
      </c>
      <c r="C548" s="308" t="s">
        <v>207</v>
      </c>
      <c r="D548" s="100" t="s">
        <v>67</v>
      </c>
      <c r="E548" s="285" t="str">
        <f>B548</f>
        <v>2018 Certified</v>
      </c>
      <c r="F548" s="308" t="s">
        <v>207</v>
      </c>
      <c r="G548" s="100" t="s">
        <v>67</v>
      </c>
      <c r="H548" s="101" t="str">
        <f>B548</f>
        <v>2018 Certified</v>
      </c>
      <c r="I548" s="384" t="s">
        <v>204</v>
      </c>
      <c r="J548" s="100" t="s">
        <v>67</v>
      </c>
      <c r="K548" s="347" t="s">
        <v>71</v>
      </c>
    </row>
    <row r="549" spans="1:49" s="136" customFormat="1" ht="12" customHeight="1">
      <c r="A549" s="273" t="s">
        <v>85</v>
      </c>
      <c r="B549" s="103"/>
      <c r="C549" s="108"/>
      <c r="D549" s="105"/>
      <c r="E549" s="104"/>
      <c r="F549" s="108"/>
      <c r="G549" s="105"/>
      <c r="H549" s="103"/>
      <c r="I549" s="108"/>
      <c r="J549" s="104"/>
      <c r="K549" s="106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</row>
    <row r="550" spans="1:49" s="136" customFormat="1" ht="12" customHeight="1">
      <c r="A550" s="103" t="s">
        <v>36</v>
      </c>
      <c r="B550" s="107">
        <v>0</v>
      </c>
      <c r="C550" s="109">
        <v>0</v>
      </c>
      <c r="D550" s="105"/>
      <c r="E550" s="109">
        <v>13947730</v>
      </c>
      <c r="F550" s="335">
        <v>13651955</v>
      </c>
      <c r="G550" s="110">
        <f aca="true" t="shared" si="62" ref="G550:G561">(F550-E550)/E550</f>
        <v>-0.021205959679460384</v>
      </c>
      <c r="H550" s="107">
        <f>SUM(B550+E550)</f>
        <v>13947730</v>
      </c>
      <c r="I550" s="108">
        <f>SUM(C550+F550)</f>
        <v>13651955</v>
      </c>
      <c r="J550" s="126">
        <f>(I550-H550)/H550</f>
        <v>-0.021205959679460384</v>
      </c>
      <c r="K550" s="111">
        <f>I550/I561</f>
        <v>0.057595660064113055</v>
      </c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</row>
    <row r="551" spans="1:49" s="136" customFormat="1" ht="12" customHeight="1">
      <c r="A551" s="103" t="s">
        <v>37</v>
      </c>
      <c r="B551" s="107">
        <v>0</v>
      </c>
      <c r="C551" s="109">
        <v>0</v>
      </c>
      <c r="D551" s="105"/>
      <c r="E551" s="109">
        <v>0</v>
      </c>
      <c r="F551" s="335">
        <v>0</v>
      </c>
      <c r="G551" s="110" t="e">
        <f t="shared" si="62"/>
        <v>#DIV/0!</v>
      </c>
      <c r="H551" s="107">
        <f aca="true" t="shared" si="63" ref="H551:H560">SUM(B551+E551)</f>
        <v>0</v>
      </c>
      <c r="I551" s="108">
        <f aca="true" t="shared" si="64" ref="I551:I560">SUM(C551+F551)</f>
        <v>0</v>
      </c>
      <c r="J551" s="126">
        <v>0</v>
      </c>
      <c r="K551" s="111">
        <f>I551/I561</f>
        <v>0</v>
      </c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</row>
    <row r="552" spans="1:49" s="136" customFormat="1" ht="12" customHeight="1">
      <c r="A552" s="103" t="s">
        <v>38</v>
      </c>
      <c r="B552" s="107">
        <v>0</v>
      </c>
      <c r="C552" s="109">
        <v>0</v>
      </c>
      <c r="D552" s="105"/>
      <c r="E552" s="109">
        <v>436220</v>
      </c>
      <c r="F552" s="335">
        <v>399204</v>
      </c>
      <c r="G552" s="110">
        <f t="shared" si="62"/>
        <v>-0.08485626518729082</v>
      </c>
      <c r="H552" s="107">
        <f t="shared" si="63"/>
        <v>436220</v>
      </c>
      <c r="I552" s="108">
        <f t="shared" si="64"/>
        <v>399204</v>
      </c>
      <c r="J552" s="126">
        <f aca="true" t="shared" si="65" ref="J552:J558">(I552-H552)/H552</f>
        <v>-0.08485626518729082</v>
      </c>
      <c r="K552" s="111">
        <f>I552/I561</f>
        <v>0.0016841850035569403</v>
      </c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</row>
    <row r="553" spans="1:49" s="136" customFormat="1" ht="12" customHeight="1">
      <c r="A553" s="103" t="s">
        <v>39</v>
      </c>
      <c r="B553" s="107">
        <v>0</v>
      </c>
      <c r="C553" s="109">
        <v>0</v>
      </c>
      <c r="D553" s="105"/>
      <c r="E553" s="109">
        <v>148270220</v>
      </c>
      <c r="F553" s="335">
        <v>146673428</v>
      </c>
      <c r="G553" s="110">
        <f t="shared" si="62"/>
        <v>-0.010769472116518072</v>
      </c>
      <c r="H553" s="107">
        <f t="shared" si="63"/>
        <v>148270220</v>
      </c>
      <c r="I553" s="108">
        <f t="shared" si="64"/>
        <v>146673428</v>
      </c>
      <c r="J553" s="126">
        <f t="shared" si="65"/>
        <v>-0.010769472116518072</v>
      </c>
      <c r="K553" s="111">
        <f>I553/I561</f>
        <v>0.618794370441901</v>
      </c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</row>
    <row r="554" spans="1:49" s="136" customFormat="1" ht="12" customHeight="1">
      <c r="A554" s="103" t="s">
        <v>40</v>
      </c>
      <c r="B554" s="107">
        <v>411030</v>
      </c>
      <c r="C554" s="109">
        <v>386623</v>
      </c>
      <c r="D554" s="407">
        <f>(C554-B554)/B554</f>
        <v>-0.059380093910420165</v>
      </c>
      <c r="E554" s="109">
        <v>2246520</v>
      </c>
      <c r="F554" s="335">
        <v>3053298</v>
      </c>
      <c r="G554" s="110">
        <f t="shared" si="62"/>
        <v>0.35912344426045617</v>
      </c>
      <c r="H554" s="107">
        <f t="shared" si="63"/>
        <v>2657550</v>
      </c>
      <c r="I554" s="108">
        <f t="shared" si="64"/>
        <v>3439921</v>
      </c>
      <c r="J554" s="126">
        <f t="shared" si="65"/>
        <v>0.2943955899230494</v>
      </c>
      <c r="K554" s="111">
        <f>I554/I561</f>
        <v>0.014512538355378688</v>
      </c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</row>
    <row r="555" spans="1:49" s="136" customFormat="1" ht="12" customHeight="1">
      <c r="A555" s="103" t="s">
        <v>41</v>
      </c>
      <c r="B555" s="152">
        <v>38712590</v>
      </c>
      <c r="C555" s="109">
        <v>30308853</v>
      </c>
      <c r="D555" s="110">
        <f>(C555-B555)/B555</f>
        <v>-0.21708020569019018</v>
      </c>
      <c r="E555" s="109">
        <v>0</v>
      </c>
      <c r="F555" s="335">
        <v>0</v>
      </c>
      <c r="G555" s="110" t="e">
        <f t="shared" si="62"/>
        <v>#DIV/0!</v>
      </c>
      <c r="H555" s="107">
        <f t="shared" si="63"/>
        <v>38712590</v>
      </c>
      <c r="I555" s="108">
        <f t="shared" si="64"/>
        <v>30308853</v>
      </c>
      <c r="J555" s="126">
        <f t="shared" si="65"/>
        <v>-0.21708020569019018</v>
      </c>
      <c r="K555" s="111">
        <f>I555/I561</f>
        <v>0.12786874805265425</v>
      </c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  <c r="AQ555" s="144"/>
      <c r="AR555" s="144"/>
      <c r="AS555" s="144"/>
      <c r="AT555" s="144"/>
      <c r="AU555" s="144"/>
      <c r="AV555" s="144"/>
      <c r="AW555" s="144"/>
    </row>
    <row r="556" spans="1:49" s="136" customFormat="1" ht="12" customHeight="1">
      <c r="A556" s="103" t="s">
        <v>42</v>
      </c>
      <c r="B556" s="152">
        <v>39611050</v>
      </c>
      <c r="C556" s="109">
        <v>33302544</v>
      </c>
      <c r="D556" s="110">
        <f>(C556-B556)/B556</f>
        <v>-0.15926126674248725</v>
      </c>
      <c r="E556" s="109">
        <v>106620</v>
      </c>
      <c r="F556" s="335">
        <v>104770</v>
      </c>
      <c r="G556" s="110">
        <f t="shared" si="62"/>
        <v>-0.017351341211780155</v>
      </c>
      <c r="H556" s="107">
        <f t="shared" si="63"/>
        <v>39717670</v>
      </c>
      <c r="I556" s="108">
        <f t="shared" si="64"/>
        <v>33407314</v>
      </c>
      <c r="J556" s="126">
        <f t="shared" si="65"/>
        <v>-0.15888031699744723</v>
      </c>
      <c r="K556" s="111">
        <f>I556/I561</f>
        <v>0.140940715142929</v>
      </c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</row>
    <row r="557" spans="1:49" s="136" customFormat="1" ht="12" customHeight="1">
      <c r="A557" s="103" t="s">
        <v>43</v>
      </c>
      <c r="B557" s="152">
        <v>736460</v>
      </c>
      <c r="C557" s="109"/>
      <c r="D557" s="110">
        <f>(C557-B557)/B557</f>
        <v>-1</v>
      </c>
      <c r="E557" s="109">
        <v>2001040</v>
      </c>
      <c r="F557" s="335">
        <v>2191550</v>
      </c>
      <c r="G557" s="110">
        <f t="shared" si="62"/>
        <v>0.09520549314356534</v>
      </c>
      <c r="H557" s="107">
        <f t="shared" si="63"/>
        <v>2737500</v>
      </c>
      <c r="I557" s="108">
        <f t="shared" si="64"/>
        <v>2191550</v>
      </c>
      <c r="J557" s="126">
        <f t="shared" si="65"/>
        <v>-0.1994337899543379</v>
      </c>
      <c r="K557" s="111">
        <f>I557/I561</f>
        <v>0.009245838329639013</v>
      </c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  <c r="AQ557" s="144"/>
      <c r="AR557" s="144"/>
      <c r="AS557" s="144"/>
      <c r="AT557" s="144"/>
      <c r="AU557" s="144"/>
      <c r="AV557" s="144"/>
      <c r="AW557" s="144"/>
    </row>
    <row r="558" spans="1:49" s="136" customFormat="1" ht="12" customHeight="1">
      <c r="A558" s="103" t="s">
        <v>44</v>
      </c>
      <c r="B558" s="107">
        <v>0</v>
      </c>
      <c r="C558" s="109"/>
      <c r="D558" s="110"/>
      <c r="E558" s="109">
        <v>3985030</v>
      </c>
      <c r="F558" s="335">
        <v>3864315</v>
      </c>
      <c r="G558" s="110">
        <f t="shared" si="62"/>
        <v>-0.030292118252560205</v>
      </c>
      <c r="H558" s="107">
        <f t="shared" si="63"/>
        <v>3985030</v>
      </c>
      <c r="I558" s="108">
        <f t="shared" si="64"/>
        <v>3864315</v>
      </c>
      <c r="J558" s="126">
        <f t="shared" si="65"/>
        <v>-0.030292118252560205</v>
      </c>
      <c r="K558" s="111">
        <f>I558/I561</f>
        <v>0.01630299639287216</v>
      </c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  <c r="AQ558" s="144"/>
      <c r="AR558" s="144"/>
      <c r="AS558" s="144"/>
      <c r="AT558" s="144"/>
      <c r="AU558" s="144"/>
      <c r="AV558" s="144"/>
      <c r="AW558" s="144"/>
    </row>
    <row r="559" spans="1:49" s="136" customFormat="1" ht="12" customHeight="1">
      <c r="A559" s="103" t="s">
        <v>45</v>
      </c>
      <c r="B559" s="107">
        <v>0</v>
      </c>
      <c r="C559" s="109">
        <v>0</v>
      </c>
      <c r="D559" s="110"/>
      <c r="E559" s="109">
        <v>286020</v>
      </c>
      <c r="F559" s="335">
        <v>280020</v>
      </c>
      <c r="G559" s="110">
        <f t="shared" si="62"/>
        <v>-0.020977554017201593</v>
      </c>
      <c r="H559" s="107">
        <f t="shared" si="63"/>
        <v>286020</v>
      </c>
      <c r="I559" s="108">
        <f t="shared" si="64"/>
        <v>280020</v>
      </c>
      <c r="J559" s="126">
        <v>0</v>
      </c>
      <c r="K559" s="111">
        <f>I559/I561</f>
        <v>0.0011813646273484595</v>
      </c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  <c r="AQ559" s="144"/>
      <c r="AR559" s="144"/>
      <c r="AS559" s="144"/>
      <c r="AT559" s="144"/>
      <c r="AU559" s="144"/>
      <c r="AV559" s="144"/>
      <c r="AW559" s="144"/>
    </row>
    <row r="560" spans="1:49" s="136" customFormat="1" ht="12" customHeight="1">
      <c r="A560" s="103" t="s">
        <v>46</v>
      </c>
      <c r="B560" s="107">
        <v>0</v>
      </c>
      <c r="C560" s="109">
        <v>0</v>
      </c>
      <c r="D560" s="110"/>
      <c r="E560" s="309">
        <v>2975210</v>
      </c>
      <c r="F560" s="335">
        <v>2814407</v>
      </c>
      <c r="G560" s="110">
        <f t="shared" si="62"/>
        <v>-0.05404761344577358</v>
      </c>
      <c r="H560" s="107">
        <f t="shared" si="63"/>
        <v>2975210</v>
      </c>
      <c r="I560" s="108">
        <f t="shared" si="64"/>
        <v>2814407</v>
      </c>
      <c r="J560" s="126">
        <f aca="true" t="shared" si="66" ref="J560:J565">(I560-H560)/H560</f>
        <v>-0.05404761344577358</v>
      </c>
      <c r="K560" s="333">
        <f>I560/I561</f>
        <v>0.011873583589607514</v>
      </c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</row>
    <row r="561" spans="1:49" s="136" customFormat="1" ht="12" customHeight="1" thickBot="1">
      <c r="A561" s="354" t="s">
        <v>47</v>
      </c>
      <c r="B561" s="295">
        <f>SUM(B550:B560)</f>
        <v>79471130</v>
      </c>
      <c r="C561" s="296">
        <f>SUM(C550:C560)</f>
        <v>63998020</v>
      </c>
      <c r="D561" s="297">
        <f>(C561-B561)/B561</f>
        <v>-0.19470101909964033</v>
      </c>
      <c r="E561" s="295">
        <f>SUM(E550:E560)</f>
        <v>174254610</v>
      </c>
      <c r="F561" s="396">
        <f>SUM(F550:F560)</f>
        <v>173032947</v>
      </c>
      <c r="G561" s="297">
        <f t="shared" si="62"/>
        <v>-0.007010792999967117</v>
      </c>
      <c r="H561" s="314">
        <f>SUM(H550:H560)</f>
        <v>253725740</v>
      </c>
      <c r="I561" s="311">
        <f>SUM(I550:I560)</f>
        <v>237030967</v>
      </c>
      <c r="J561" s="319">
        <f t="shared" si="66"/>
        <v>-0.06579849959251277</v>
      </c>
      <c r="K561" s="334">
        <f>SUM(K550:K560)</f>
        <v>1</v>
      </c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  <c r="AQ561" s="144"/>
      <c r="AR561" s="144"/>
      <c r="AS561" s="144"/>
      <c r="AT561" s="144"/>
      <c r="AU561" s="144"/>
      <c r="AV561" s="144"/>
      <c r="AW561" s="144"/>
    </row>
    <row r="562" spans="1:49" s="136" customFormat="1" ht="12" customHeight="1">
      <c r="A562" s="274" t="str">
        <f>A17</f>
        <v>Less Minimum Value Loss</v>
      </c>
      <c r="B562" s="104"/>
      <c r="C562" s="108"/>
      <c r="D562" s="104"/>
      <c r="E562" s="104"/>
      <c r="F562" s="108"/>
      <c r="G562" s="104"/>
      <c r="H562" s="108">
        <v>0</v>
      </c>
      <c r="I562" s="109">
        <v>0</v>
      </c>
      <c r="J562" s="126">
        <v>0</v>
      </c>
      <c r="K562" s="355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  <c r="AQ562" s="144"/>
      <c r="AR562" s="144"/>
      <c r="AS562" s="144"/>
      <c r="AT562" s="144"/>
      <c r="AU562" s="144"/>
      <c r="AV562" s="144"/>
      <c r="AW562" s="144"/>
    </row>
    <row r="563" spans="1:49" s="136" customFormat="1" ht="12" customHeight="1">
      <c r="A563" s="274" t="s">
        <v>174</v>
      </c>
      <c r="B563" s="104"/>
      <c r="C563" s="108"/>
      <c r="D563" s="104"/>
      <c r="E563" s="104"/>
      <c r="F563" s="108"/>
      <c r="G563" s="104"/>
      <c r="H563" s="109">
        <v>-418600</v>
      </c>
      <c r="I563" s="109">
        <v>-224460</v>
      </c>
      <c r="J563" s="126">
        <f t="shared" si="66"/>
        <v>-0.46378404204491164</v>
      </c>
      <c r="K563" s="355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  <c r="AQ563" s="144"/>
      <c r="AR563" s="144"/>
      <c r="AS563" s="144"/>
      <c r="AT563" s="144"/>
      <c r="AU563" s="144"/>
      <c r="AV563" s="144"/>
      <c r="AW563" s="144"/>
    </row>
    <row r="564" spans="1:49" s="136" customFormat="1" ht="12" customHeight="1">
      <c r="A564" s="274" t="s">
        <v>49</v>
      </c>
      <c r="B564" s="104"/>
      <c r="C564" s="108"/>
      <c r="D564" s="104"/>
      <c r="E564" s="104"/>
      <c r="F564" s="108"/>
      <c r="G564" s="104"/>
      <c r="H564" s="109">
        <v>-51103990</v>
      </c>
      <c r="I564" s="109">
        <v>-52303450</v>
      </c>
      <c r="J564" s="126">
        <f t="shared" si="66"/>
        <v>0.023470965769991737</v>
      </c>
      <c r="K564" s="355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</row>
    <row r="565" spans="1:49" s="136" customFormat="1" ht="12" customHeight="1">
      <c r="A565" s="354" t="s">
        <v>50</v>
      </c>
      <c r="B565" s="301"/>
      <c r="C565" s="392"/>
      <c r="D565" s="301"/>
      <c r="E565" s="301"/>
      <c r="F565" s="392"/>
      <c r="G565" s="301"/>
      <c r="H565" s="283">
        <f>SUM(H561:H564)</f>
        <v>202203150</v>
      </c>
      <c r="I565" s="302">
        <f>SUM(I561:I564)</f>
        <v>184503057</v>
      </c>
      <c r="J565" s="303">
        <f t="shared" si="66"/>
        <v>-0.08753618823445629</v>
      </c>
      <c r="K565" s="355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  <c r="AQ565" s="144"/>
      <c r="AR565" s="144"/>
      <c r="AS565" s="144"/>
      <c r="AT565" s="144"/>
      <c r="AU565" s="144"/>
      <c r="AV565" s="144"/>
      <c r="AW565" s="144"/>
    </row>
    <row r="566" spans="1:49" s="136" customFormat="1" ht="12" customHeight="1">
      <c r="A566" s="274" t="s">
        <v>127</v>
      </c>
      <c r="B566" s="104"/>
      <c r="C566" s="108"/>
      <c r="D566" s="104"/>
      <c r="E566" s="104"/>
      <c r="F566" s="108"/>
      <c r="G566" s="104"/>
      <c r="H566" s="131">
        <v>-286026</v>
      </c>
      <c r="I566" s="131">
        <v>-286816</v>
      </c>
      <c r="J566" s="126">
        <f>(I566-H566)/H566</f>
        <v>0.0027619866725402584</v>
      </c>
      <c r="K566" s="355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</row>
    <row r="567" spans="1:49" s="136" customFormat="1" ht="12" customHeight="1">
      <c r="A567" s="274" t="s">
        <v>78</v>
      </c>
      <c r="B567" s="104"/>
      <c r="C567" s="108"/>
      <c r="D567" s="104"/>
      <c r="E567" s="104"/>
      <c r="F567" s="108"/>
      <c r="G567" s="104"/>
      <c r="H567" s="131">
        <v>0</v>
      </c>
      <c r="I567" s="131">
        <v>0</v>
      </c>
      <c r="J567" s="126">
        <v>0</v>
      </c>
      <c r="K567" s="355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  <c r="AQ567" s="144"/>
      <c r="AR567" s="144"/>
      <c r="AS567" s="144"/>
      <c r="AT567" s="144"/>
      <c r="AU567" s="144"/>
      <c r="AV567" s="144"/>
      <c r="AW567" s="144"/>
    </row>
    <row r="568" spans="1:49" s="136" customFormat="1" ht="12" customHeight="1">
      <c r="A568" s="274" t="s">
        <v>128</v>
      </c>
      <c r="B568" s="104"/>
      <c r="C568" s="108"/>
      <c r="D568" s="104"/>
      <c r="E568" s="104"/>
      <c r="F568" s="108"/>
      <c r="G568" s="104"/>
      <c r="H568" s="131">
        <v>0</v>
      </c>
      <c r="I568" s="131">
        <v>0</v>
      </c>
      <c r="J568" s="126">
        <v>0</v>
      </c>
      <c r="K568" s="355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  <c r="AQ568" s="144"/>
      <c r="AR568" s="144"/>
      <c r="AS568" s="144"/>
      <c r="AT568" s="144"/>
      <c r="AU568" s="144"/>
      <c r="AV568" s="144"/>
      <c r="AW568" s="144"/>
    </row>
    <row r="569" spans="1:49" s="136" customFormat="1" ht="12" customHeight="1">
      <c r="A569" s="274" t="s">
        <v>157</v>
      </c>
      <c r="B569" s="104"/>
      <c r="C569" s="108"/>
      <c r="D569" s="104"/>
      <c r="E569" s="104"/>
      <c r="F569" s="108"/>
      <c r="G569" s="104"/>
      <c r="H569" s="109">
        <v>-3120250</v>
      </c>
      <c r="I569" s="109">
        <v>-3116880</v>
      </c>
      <c r="J569" s="126">
        <f>(I569-H569)/H569</f>
        <v>-0.001080041663328259</v>
      </c>
      <c r="K569" s="355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  <c r="AQ569" s="144"/>
      <c r="AR569" s="144"/>
      <c r="AS569" s="144"/>
      <c r="AT569" s="144"/>
      <c r="AU569" s="144"/>
      <c r="AV569" s="144"/>
      <c r="AW569" s="144"/>
    </row>
    <row r="570" spans="1:49" s="136" customFormat="1" ht="12" customHeight="1">
      <c r="A570" s="274" t="s">
        <v>53</v>
      </c>
      <c r="B570" s="104"/>
      <c r="C570" s="108"/>
      <c r="D570" s="104"/>
      <c r="E570" s="104"/>
      <c r="F570" s="108"/>
      <c r="G570" s="104"/>
      <c r="H570" s="109">
        <v>0</v>
      </c>
      <c r="I570" s="109">
        <v>0</v>
      </c>
      <c r="J570" s="126">
        <v>0</v>
      </c>
      <c r="K570" s="355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  <c r="AQ570" s="144"/>
      <c r="AR570" s="144"/>
      <c r="AS570" s="144"/>
      <c r="AT570" s="144"/>
      <c r="AU570" s="144"/>
      <c r="AV570" s="144"/>
      <c r="AW570" s="144"/>
    </row>
    <row r="571" spans="1:49" s="136" customFormat="1" ht="12" customHeight="1">
      <c r="A571" s="274" t="s">
        <v>54</v>
      </c>
      <c r="B571" s="104"/>
      <c r="C571" s="108"/>
      <c r="D571" s="104"/>
      <c r="E571" s="104"/>
      <c r="F571" s="108"/>
      <c r="G571" s="104"/>
      <c r="H571" s="109">
        <v>0</v>
      </c>
      <c r="I571" s="109">
        <v>0</v>
      </c>
      <c r="J571" s="126">
        <v>0</v>
      </c>
      <c r="K571" s="355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  <c r="AQ571" s="144"/>
      <c r="AR571" s="144"/>
      <c r="AS571" s="144"/>
      <c r="AT571" s="144"/>
      <c r="AU571" s="144"/>
      <c r="AV571" s="144"/>
      <c r="AW571" s="144"/>
    </row>
    <row r="572" spans="1:49" s="136" customFormat="1" ht="12" customHeight="1">
      <c r="A572" s="274" t="s">
        <v>55</v>
      </c>
      <c r="B572" s="104"/>
      <c r="C572" s="108"/>
      <c r="D572" s="104"/>
      <c r="E572" s="104"/>
      <c r="F572" s="108"/>
      <c r="G572" s="104"/>
      <c r="H572" s="109">
        <v>0</v>
      </c>
      <c r="I572" s="109">
        <v>0</v>
      </c>
      <c r="J572" s="126">
        <v>0</v>
      </c>
      <c r="K572" s="355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  <c r="AQ572" s="144"/>
      <c r="AR572" s="144"/>
      <c r="AS572" s="144"/>
      <c r="AT572" s="144"/>
      <c r="AU572" s="144"/>
      <c r="AV572" s="144"/>
      <c r="AW572" s="144"/>
    </row>
    <row r="573" spans="1:49" s="136" customFormat="1" ht="12" customHeight="1">
      <c r="A573" s="274" t="s">
        <v>56</v>
      </c>
      <c r="B573" s="104"/>
      <c r="C573" s="108"/>
      <c r="D573" s="104"/>
      <c r="E573" s="104"/>
      <c r="F573" s="108"/>
      <c r="G573" s="104"/>
      <c r="H573" s="109">
        <v>-1249134</v>
      </c>
      <c r="I573" s="109">
        <v>-1267430</v>
      </c>
      <c r="J573" s="126">
        <f>(I573-H573)/H573</f>
        <v>0.014646947405162297</v>
      </c>
      <c r="K573" s="355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  <c r="AQ573" s="144"/>
      <c r="AR573" s="144"/>
      <c r="AS573" s="144"/>
      <c r="AT573" s="144"/>
      <c r="AU573" s="144"/>
      <c r="AV573" s="144"/>
      <c r="AW573" s="144"/>
    </row>
    <row r="574" spans="1:49" s="136" customFormat="1" ht="12" customHeight="1">
      <c r="A574" s="274" t="s">
        <v>57</v>
      </c>
      <c r="B574" s="104"/>
      <c r="C574" s="108"/>
      <c r="D574" s="104"/>
      <c r="E574" s="104"/>
      <c r="F574" s="108"/>
      <c r="G574" s="104"/>
      <c r="H574" s="131">
        <v>-13204978</v>
      </c>
      <c r="I574" s="131">
        <v>-13377042</v>
      </c>
      <c r="J574" s="126">
        <f>(I574-H574)/H574</f>
        <v>0.013030237536177644</v>
      </c>
      <c r="K574" s="355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  <c r="AQ574" s="144"/>
      <c r="AR574" s="144"/>
      <c r="AS574" s="144"/>
      <c r="AT574" s="144"/>
      <c r="AU574" s="144"/>
      <c r="AV574" s="144"/>
      <c r="AW574" s="144"/>
    </row>
    <row r="575" spans="1:49" s="136" customFormat="1" ht="12" customHeight="1">
      <c r="A575" s="274" t="s">
        <v>58</v>
      </c>
      <c r="B575" s="104"/>
      <c r="C575" s="108"/>
      <c r="D575" s="104"/>
      <c r="E575" s="104"/>
      <c r="F575" s="108"/>
      <c r="G575" s="104"/>
      <c r="H575" s="131">
        <v>-1699079</v>
      </c>
      <c r="I575" s="131">
        <v>-1684415</v>
      </c>
      <c r="J575" s="126">
        <f>(I575-H575)/H575</f>
        <v>-0.008630558084703536</v>
      </c>
      <c r="K575" s="355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  <c r="AQ575" s="144"/>
      <c r="AR575" s="144"/>
      <c r="AS575" s="144"/>
      <c r="AT575" s="144"/>
      <c r="AU575" s="144"/>
      <c r="AV575" s="144"/>
      <c r="AW575" s="144"/>
    </row>
    <row r="576" spans="1:49" s="136" customFormat="1" ht="12" customHeight="1">
      <c r="A576" s="274" t="s">
        <v>59</v>
      </c>
      <c r="B576" s="104"/>
      <c r="C576" s="108"/>
      <c r="D576" s="104"/>
      <c r="E576" s="104"/>
      <c r="F576" s="108"/>
      <c r="G576" s="104"/>
      <c r="H576" s="131">
        <v>0</v>
      </c>
      <c r="I576" s="131">
        <v>0</v>
      </c>
      <c r="J576" s="126">
        <v>0</v>
      </c>
      <c r="K576" s="355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144"/>
      <c r="AP576" s="144"/>
      <c r="AQ576" s="144"/>
      <c r="AR576" s="144"/>
      <c r="AS576" s="144"/>
      <c r="AT576" s="144"/>
      <c r="AU576" s="144"/>
      <c r="AV576" s="144"/>
      <c r="AW576" s="144"/>
    </row>
    <row r="577" spans="1:49" s="136" customFormat="1" ht="12" customHeight="1">
      <c r="A577" s="354" t="s">
        <v>60</v>
      </c>
      <c r="B577" s="301"/>
      <c r="C577" s="392"/>
      <c r="D577" s="301"/>
      <c r="E577" s="301"/>
      <c r="F577" s="392"/>
      <c r="G577" s="301"/>
      <c r="H577" s="283">
        <f>SUM(H565:H576)</f>
        <v>182643683</v>
      </c>
      <c r="I577" s="302">
        <f>SUM(I565:I576)</f>
        <v>164770474</v>
      </c>
      <c r="J577" s="303">
        <f>(I577-H577)/H577</f>
        <v>-0.09785834750167625</v>
      </c>
      <c r="K577" s="355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Q577" s="144"/>
      <c r="AR577" s="144"/>
      <c r="AS577" s="144"/>
      <c r="AT577" s="144"/>
      <c r="AU577" s="144"/>
      <c r="AV577" s="144"/>
      <c r="AW577" s="144"/>
    </row>
    <row r="578" spans="1:49" s="136" customFormat="1" ht="12" customHeight="1">
      <c r="A578" s="274" t="str">
        <f>A656</f>
        <v>Revenue Neutral Rate</v>
      </c>
      <c r="B578" s="104"/>
      <c r="C578" s="108"/>
      <c r="D578" s="104"/>
      <c r="E578" s="381">
        <v>0.08283</v>
      </c>
      <c r="F578" s="397">
        <v>0.091815</v>
      </c>
      <c r="G578" s="123">
        <f>(F578-E578)/E578</f>
        <v>0.10847519014849684</v>
      </c>
      <c r="H578" s="124"/>
      <c r="I578" s="125"/>
      <c r="J578" s="104"/>
      <c r="K578" s="355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  <c r="AQ578" s="144"/>
      <c r="AR578" s="144"/>
      <c r="AS578" s="144"/>
      <c r="AT578" s="144"/>
      <c r="AU578" s="144"/>
      <c r="AV578" s="144"/>
      <c r="AW578" s="144"/>
    </row>
    <row r="579" spans="1:49" s="136" customFormat="1" ht="12" customHeight="1">
      <c r="A579" s="356"/>
      <c r="B579" s="104"/>
      <c r="C579" s="108"/>
      <c r="D579" s="104"/>
      <c r="E579" s="104"/>
      <c r="F579" s="108"/>
      <c r="G579" s="104"/>
      <c r="H579" s="124"/>
      <c r="I579" s="125"/>
      <c r="J579" s="154"/>
      <c r="K579" s="355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  <c r="AQ579" s="144"/>
      <c r="AR579" s="144"/>
      <c r="AS579" s="144"/>
      <c r="AT579" s="144"/>
      <c r="AU579" s="144"/>
      <c r="AV579" s="144"/>
      <c r="AW579" s="144"/>
    </row>
    <row r="580" spans="1:49" s="136" customFormat="1" ht="12" customHeight="1">
      <c r="A580" s="356"/>
      <c r="B580" s="104"/>
      <c r="C580" s="108"/>
      <c r="D580" s="104"/>
      <c r="E580" s="104"/>
      <c r="F580" s="108"/>
      <c r="G580" s="123"/>
      <c r="H580" s="154"/>
      <c r="I580" s="108"/>
      <c r="J580" s="154"/>
      <c r="K580" s="355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  <c r="AQ580" s="144"/>
      <c r="AR580" s="144"/>
      <c r="AS580" s="144"/>
      <c r="AT580" s="144"/>
      <c r="AU580" s="144"/>
      <c r="AV580" s="144"/>
      <c r="AW580" s="144"/>
    </row>
    <row r="581" spans="1:49" s="136" customFormat="1" ht="12" customHeight="1">
      <c r="A581" s="274" t="s">
        <v>62</v>
      </c>
      <c r="B581" s="104"/>
      <c r="C581" s="108"/>
      <c r="D581" s="104"/>
      <c r="E581" s="104"/>
      <c r="F581" s="108"/>
      <c r="G581" s="104"/>
      <c r="H581" s="318">
        <f>(H577*E578)/100</f>
        <v>151283.7626289</v>
      </c>
      <c r="I581" s="131">
        <f>(I577*F578)/100</f>
        <v>151284.01070309998</v>
      </c>
      <c r="J581" s="123">
        <f>(I581-H581)/H581</f>
        <v>1.6397939584816046E-06</v>
      </c>
      <c r="K581" s="355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  <c r="AQ581" s="144"/>
      <c r="AR581" s="144"/>
      <c r="AS581" s="144"/>
      <c r="AT581" s="144"/>
      <c r="AU581" s="144"/>
      <c r="AV581" s="144"/>
      <c r="AW581" s="144"/>
    </row>
    <row r="582" spans="1:49" s="136" customFormat="1" ht="12" customHeight="1">
      <c r="A582" s="274" t="s">
        <v>18</v>
      </c>
      <c r="B582" s="104"/>
      <c r="C582" s="108"/>
      <c r="D582" s="104"/>
      <c r="E582" s="104"/>
      <c r="F582" s="108"/>
      <c r="G582" s="104"/>
      <c r="H582" s="335">
        <v>1673800</v>
      </c>
      <c r="I582" s="335">
        <v>1270086</v>
      </c>
      <c r="J582" s="123">
        <f>(I582-H582)/H582</f>
        <v>-0.24119608077428606</v>
      </c>
      <c r="K582" s="355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  <c r="AQ582" s="144"/>
      <c r="AR582" s="144"/>
      <c r="AS582" s="144"/>
      <c r="AT582" s="144"/>
      <c r="AU582" s="144"/>
      <c r="AV582" s="144"/>
      <c r="AW582" s="144"/>
    </row>
    <row r="583" spans="1:49" s="136" customFormat="1" ht="12" customHeight="1" thickBot="1">
      <c r="A583" s="357" t="s">
        <v>17</v>
      </c>
      <c r="B583" s="358"/>
      <c r="C583" s="277"/>
      <c r="D583" s="358"/>
      <c r="E583" s="358"/>
      <c r="F583" s="277"/>
      <c r="G583" s="358"/>
      <c r="H583" s="359">
        <v>14550</v>
      </c>
      <c r="I583" s="359">
        <v>14618</v>
      </c>
      <c r="J583" s="360">
        <f>(I583-H583)/H583</f>
        <v>0.004673539518900344</v>
      </c>
      <c r="K583" s="361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  <c r="AQ583" s="144"/>
      <c r="AR583" s="144"/>
      <c r="AS583" s="144"/>
      <c r="AT583" s="144"/>
      <c r="AU583" s="144"/>
      <c r="AV583" s="144"/>
      <c r="AW583" s="144"/>
    </row>
    <row r="584" spans="1:49" s="136" customFormat="1" ht="12" customHeight="1">
      <c r="A584" s="121"/>
      <c r="B584" s="104"/>
      <c r="C584" s="108"/>
      <c r="D584" s="104"/>
      <c r="E584" s="104"/>
      <c r="F584" s="108"/>
      <c r="G584" s="104"/>
      <c r="H584" s="109"/>
      <c r="I584" s="335"/>
      <c r="J584" s="123"/>
      <c r="K584" s="247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  <c r="AQ584" s="144"/>
      <c r="AR584" s="144"/>
      <c r="AS584" s="144"/>
      <c r="AT584" s="144"/>
      <c r="AU584" s="144"/>
      <c r="AV584" s="144"/>
      <c r="AW584" s="144"/>
    </row>
    <row r="585" spans="1:49" s="136" customFormat="1" ht="12" customHeight="1" thickBot="1">
      <c r="A585" s="132"/>
      <c r="C585" s="140"/>
      <c r="F585" s="140"/>
      <c r="H585" s="140"/>
      <c r="I585" s="140"/>
      <c r="J585" s="206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  <c r="AQ585" s="144"/>
      <c r="AR585" s="144"/>
      <c r="AS585" s="144"/>
      <c r="AT585" s="144"/>
      <c r="AU585" s="144"/>
      <c r="AV585" s="144"/>
      <c r="AW585" s="144"/>
    </row>
    <row r="586" spans="1:10" ht="12" customHeight="1">
      <c r="A586" s="290" t="s">
        <v>82</v>
      </c>
      <c r="B586" s="95" t="s">
        <v>32</v>
      </c>
      <c r="C586" s="372"/>
      <c r="D586" s="97"/>
      <c r="E586" s="95" t="s">
        <v>33</v>
      </c>
      <c r="F586" s="372"/>
      <c r="G586" s="97"/>
      <c r="H586" s="95" t="s">
        <v>34</v>
      </c>
      <c r="I586" s="372"/>
      <c r="J586" s="97"/>
    </row>
    <row r="587" spans="1:11" ht="12" customHeight="1">
      <c r="A587" s="9" t="s">
        <v>35</v>
      </c>
      <c r="B587" s="285" t="s">
        <v>200</v>
      </c>
      <c r="C587" s="308" t="s">
        <v>207</v>
      </c>
      <c r="D587" s="100" t="s">
        <v>67</v>
      </c>
      <c r="E587" s="285" t="str">
        <f>B587</f>
        <v>2018 Certified</v>
      </c>
      <c r="F587" s="308" t="s">
        <v>207</v>
      </c>
      <c r="G587" s="100" t="s">
        <v>67</v>
      </c>
      <c r="H587" s="101" t="str">
        <f>B587</f>
        <v>2018 Certified</v>
      </c>
      <c r="I587" s="384" t="s">
        <v>204</v>
      </c>
      <c r="J587" s="100" t="s">
        <v>67</v>
      </c>
      <c r="K587" s="287" t="s">
        <v>71</v>
      </c>
    </row>
    <row r="588" spans="1:10" ht="12" customHeight="1">
      <c r="A588" s="93" t="s">
        <v>148</v>
      </c>
      <c r="B588" s="103"/>
      <c r="C588" s="108"/>
      <c r="D588" s="105"/>
      <c r="E588" s="103"/>
      <c r="F588" s="108"/>
      <c r="G588" s="105"/>
      <c r="H588" s="103"/>
      <c r="I588" s="108"/>
      <c r="J588" s="105"/>
    </row>
    <row r="589" spans="1:11" ht="12" customHeight="1">
      <c r="A589" s="9" t="s">
        <v>36</v>
      </c>
      <c r="B589" s="107">
        <v>0</v>
      </c>
      <c r="C589" s="108">
        <v>0</v>
      </c>
      <c r="D589" s="105"/>
      <c r="E589" s="108">
        <v>77963030</v>
      </c>
      <c r="F589" s="108">
        <v>78050672</v>
      </c>
      <c r="G589" s="110">
        <f>(F589-E589)/E589</f>
        <v>0.001124148202038838</v>
      </c>
      <c r="H589" s="107">
        <f aca="true" t="shared" si="67" ref="H589:I599">B589+E589</f>
        <v>77963030</v>
      </c>
      <c r="I589" s="108">
        <f t="shared" si="67"/>
        <v>78050672</v>
      </c>
      <c r="J589" s="110">
        <f aca="true" t="shared" si="68" ref="J589:J606">(I589-H589)/H589</f>
        <v>0.001124148202038838</v>
      </c>
      <c r="K589" s="291">
        <f>I589/I600</f>
        <v>0.09006761558289132</v>
      </c>
    </row>
    <row r="590" spans="1:11" ht="12" customHeight="1">
      <c r="A590" s="9" t="s">
        <v>37</v>
      </c>
      <c r="B590" s="107">
        <v>0</v>
      </c>
      <c r="C590" s="108">
        <v>0</v>
      </c>
      <c r="D590" s="105"/>
      <c r="E590" s="108">
        <v>591600</v>
      </c>
      <c r="F590" s="108">
        <v>597151</v>
      </c>
      <c r="G590" s="110">
        <f>(F590-E590)/E590</f>
        <v>0.009383029073698444</v>
      </c>
      <c r="H590" s="107">
        <f t="shared" si="67"/>
        <v>591600</v>
      </c>
      <c r="I590" s="108">
        <f t="shared" si="67"/>
        <v>597151</v>
      </c>
      <c r="J590" s="110">
        <f t="shared" si="68"/>
        <v>0.009383029073698444</v>
      </c>
      <c r="K590" s="291">
        <f>I590/I600</f>
        <v>0.0006890903734043332</v>
      </c>
    </row>
    <row r="591" spans="1:11" ht="12" customHeight="1">
      <c r="A591" s="9" t="s">
        <v>38</v>
      </c>
      <c r="B591" s="107">
        <v>0</v>
      </c>
      <c r="C591" s="108">
        <v>0</v>
      </c>
      <c r="D591" s="105"/>
      <c r="E591" s="108">
        <v>2328000</v>
      </c>
      <c r="F591" s="108">
        <v>2376946</v>
      </c>
      <c r="G591" s="110">
        <f>(F591-E591)/E591</f>
        <v>0.02102491408934708</v>
      </c>
      <c r="H591" s="107">
        <f t="shared" si="67"/>
        <v>2328000</v>
      </c>
      <c r="I591" s="108">
        <f t="shared" si="67"/>
        <v>2376946</v>
      </c>
      <c r="J591" s="110">
        <f t="shared" si="68"/>
        <v>0.02102491408934708</v>
      </c>
      <c r="K591" s="291">
        <f>I591/I600</f>
        <v>0.0027429085887856444</v>
      </c>
    </row>
    <row r="592" spans="1:11" ht="12" customHeight="1">
      <c r="A592" s="9" t="s">
        <v>39</v>
      </c>
      <c r="B592" s="107">
        <v>0</v>
      </c>
      <c r="C592" s="108">
        <v>0</v>
      </c>
      <c r="D592" s="105"/>
      <c r="E592" s="108">
        <v>381991070</v>
      </c>
      <c r="F592" s="108">
        <v>378396806</v>
      </c>
      <c r="G592" s="110">
        <f>(F592-E592)/E592</f>
        <v>-0.009409288023408506</v>
      </c>
      <c r="H592" s="107">
        <f t="shared" si="67"/>
        <v>381991070</v>
      </c>
      <c r="I592" s="108">
        <f t="shared" si="67"/>
        <v>378396806</v>
      </c>
      <c r="J592" s="110">
        <f t="shared" si="68"/>
        <v>-0.009409288023408506</v>
      </c>
      <c r="K592" s="291">
        <f>I592/I600</f>
        <v>0.43665604904211336</v>
      </c>
    </row>
    <row r="593" spans="1:11" ht="12" customHeight="1">
      <c r="A593" s="9" t="s">
        <v>40</v>
      </c>
      <c r="B593" s="107">
        <v>14008430</v>
      </c>
      <c r="C593" s="108">
        <v>14103907</v>
      </c>
      <c r="D593" s="110">
        <f>(C593-B593)/B593</f>
        <v>0.00681568170023336</v>
      </c>
      <c r="E593" s="108">
        <v>35640880</v>
      </c>
      <c r="F593" s="108">
        <v>35912611</v>
      </c>
      <c r="G593" s="110">
        <f>(F593-E593)/E593</f>
        <v>0.007624138348996994</v>
      </c>
      <c r="H593" s="107">
        <f t="shared" si="67"/>
        <v>49649310</v>
      </c>
      <c r="I593" s="108">
        <f t="shared" si="67"/>
        <v>50016518</v>
      </c>
      <c r="J593" s="110">
        <f t="shared" si="68"/>
        <v>0.007396034305411294</v>
      </c>
      <c r="K593" s="291">
        <f>I593/I600</f>
        <v>0.05771722908444356</v>
      </c>
    </row>
    <row r="594" spans="1:11" ht="12" customHeight="1">
      <c r="A594" s="9" t="s">
        <v>41</v>
      </c>
      <c r="B594" s="152">
        <v>85625460</v>
      </c>
      <c r="C594" s="109">
        <v>106709826</v>
      </c>
      <c r="D594" s="110">
        <f>(C594-B594)/B594</f>
        <v>0.24623944793990013</v>
      </c>
      <c r="E594" s="108">
        <v>0</v>
      </c>
      <c r="F594" s="108">
        <v>0</v>
      </c>
      <c r="G594" s="110">
        <v>0</v>
      </c>
      <c r="H594" s="107">
        <f t="shared" si="67"/>
        <v>85625460</v>
      </c>
      <c r="I594" s="108">
        <f t="shared" si="67"/>
        <v>106709826</v>
      </c>
      <c r="J594" s="110">
        <f t="shared" si="68"/>
        <v>0.24623944793990013</v>
      </c>
      <c r="K594" s="291">
        <f>I594/I600</f>
        <v>0.12313922918031021</v>
      </c>
    </row>
    <row r="595" spans="1:11" ht="12" customHeight="1">
      <c r="A595" s="9" t="s">
        <v>42</v>
      </c>
      <c r="B595" s="152">
        <v>62518190</v>
      </c>
      <c r="C595" s="109">
        <v>57606611</v>
      </c>
      <c r="D595" s="110">
        <f>(C595-B595)/B595</f>
        <v>-0.07856239919933702</v>
      </c>
      <c r="E595" s="108">
        <v>109960</v>
      </c>
      <c r="F595" s="108">
        <v>113839</v>
      </c>
      <c r="G595" s="110">
        <f aca="true" t="shared" si="69" ref="G595:G600">(F595-E595)/E595</f>
        <v>0.03527646416878865</v>
      </c>
      <c r="H595" s="107">
        <f t="shared" si="67"/>
        <v>62628150</v>
      </c>
      <c r="I595" s="108">
        <f t="shared" si="67"/>
        <v>57720450</v>
      </c>
      <c r="J595" s="110">
        <f t="shared" si="68"/>
        <v>-0.0783625254777604</v>
      </c>
      <c r="K595" s="291">
        <f>I595/I600</f>
        <v>0.0666072843276929</v>
      </c>
    </row>
    <row r="596" spans="1:11" ht="12" customHeight="1">
      <c r="A596" s="9" t="s">
        <v>43</v>
      </c>
      <c r="B596" s="152">
        <v>160659890</v>
      </c>
      <c r="C596" s="109">
        <v>126488611</v>
      </c>
      <c r="D596" s="110">
        <f>(C596-B596)/B596</f>
        <v>-0.21269328019582237</v>
      </c>
      <c r="E596" s="108">
        <v>51204470</v>
      </c>
      <c r="F596" s="108">
        <v>54166895</v>
      </c>
      <c r="G596" s="110">
        <f t="shared" si="69"/>
        <v>0.05785481228494309</v>
      </c>
      <c r="H596" s="107">
        <f t="shared" si="67"/>
        <v>211864360</v>
      </c>
      <c r="I596" s="108">
        <f t="shared" si="67"/>
        <v>180655506</v>
      </c>
      <c r="J596" s="110">
        <f t="shared" si="68"/>
        <v>-0.1473058234051258</v>
      </c>
      <c r="K596" s="291">
        <f>I596/I600</f>
        <v>0.20846983440886604</v>
      </c>
    </row>
    <row r="597" spans="1:11" ht="12" customHeight="1">
      <c r="A597" s="9" t="s">
        <v>44</v>
      </c>
      <c r="B597" s="107">
        <v>0</v>
      </c>
      <c r="C597" s="108"/>
      <c r="D597" s="110"/>
      <c r="E597" s="108">
        <v>7152580</v>
      </c>
      <c r="F597" s="108">
        <v>699103</v>
      </c>
      <c r="G597" s="110">
        <f t="shared" si="69"/>
        <v>-0.9022586255588892</v>
      </c>
      <c r="H597" s="107">
        <f t="shared" si="67"/>
        <v>7152580</v>
      </c>
      <c r="I597" s="108">
        <f t="shared" si="67"/>
        <v>699103</v>
      </c>
      <c r="J597" s="110">
        <f t="shared" si="68"/>
        <v>-0.9022586255588892</v>
      </c>
      <c r="K597" s="291">
        <f>I597/I600</f>
        <v>0.0008067392457152204</v>
      </c>
    </row>
    <row r="598" spans="1:11" ht="12" customHeight="1">
      <c r="A598" s="9" t="s">
        <v>45</v>
      </c>
      <c r="B598" s="107">
        <v>0</v>
      </c>
      <c r="C598" s="108">
        <v>0</v>
      </c>
      <c r="D598" s="110"/>
      <c r="E598" s="108">
        <v>105050</v>
      </c>
      <c r="F598" s="108">
        <v>43010</v>
      </c>
      <c r="G598" s="110">
        <f t="shared" si="69"/>
        <v>-0.5905759162303665</v>
      </c>
      <c r="H598" s="107">
        <f t="shared" si="67"/>
        <v>105050</v>
      </c>
      <c r="I598" s="108">
        <f t="shared" si="67"/>
        <v>43010</v>
      </c>
      <c r="J598" s="110">
        <f t="shared" si="68"/>
        <v>-0.5905759162303665</v>
      </c>
      <c r="K598" s="291">
        <f>I598/I600</f>
        <v>4.963196404279717E-05</v>
      </c>
    </row>
    <row r="599" spans="1:11" ht="12" customHeight="1">
      <c r="A599" s="9" t="s">
        <v>46</v>
      </c>
      <c r="B599" s="107">
        <v>0</v>
      </c>
      <c r="C599" s="108">
        <v>0</v>
      </c>
      <c r="D599" s="292"/>
      <c r="E599" s="108">
        <v>10883950</v>
      </c>
      <c r="F599" s="108">
        <v>11312654</v>
      </c>
      <c r="G599" s="292">
        <f t="shared" si="69"/>
        <v>0.03938864107240478</v>
      </c>
      <c r="H599" s="107">
        <f t="shared" si="67"/>
        <v>10883950</v>
      </c>
      <c r="I599" s="108">
        <f t="shared" si="67"/>
        <v>11312654</v>
      </c>
      <c r="J599" s="292">
        <f t="shared" si="68"/>
        <v>0.03938864107240478</v>
      </c>
      <c r="K599" s="293">
        <f>I599/I600</f>
        <v>0.01305438820173461</v>
      </c>
    </row>
    <row r="600" spans="1:11" ht="12" customHeight="1" thickBot="1">
      <c r="A600" s="294" t="s">
        <v>47</v>
      </c>
      <c r="B600" s="295">
        <f>SUM(B589:B599)</f>
        <v>322811970</v>
      </c>
      <c r="C600" s="296">
        <f>SUM(C589:C599)</f>
        <v>304908955</v>
      </c>
      <c r="D600" s="278">
        <f>(C600-B600)/B600</f>
        <v>-0.055459576049797656</v>
      </c>
      <c r="E600" s="295">
        <f>SUM(E589:E599)</f>
        <v>567970590</v>
      </c>
      <c r="F600" s="296">
        <f>SUM(F589:F599)</f>
        <v>561669687</v>
      </c>
      <c r="G600" s="278">
        <f t="shared" si="69"/>
        <v>-0.011093713496679466</v>
      </c>
      <c r="H600" s="314">
        <f>SUM(H589:H599)</f>
        <v>890782560</v>
      </c>
      <c r="I600" s="311">
        <f>SUM(I589:I599)</f>
        <v>866578642</v>
      </c>
      <c r="J600" s="297">
        <f t="shared" si="68"/>
        <v>-0.027171522082785275</v>
      </c>
      <c r="K600" s="117">
        <f>SUM(K589:K599)</f>
        <v>1</v>
      </c>
    </row>
    <row r="601" spans="1:10" ht="12" customHeight="1">
      <c r="A601" s="113" t="str">
        <f>A17</f>
        <v>Less Minimum Value Loss</v>
      </c>
      <c r="H601" s="112">
        <v>0</v>
      </c>
      <c r="I601" s="118">
        <v>0</v>
      </c>
      <c r="J601" s="126">
        <v>0</v>
      </c>
    </row>
    <row r="602" spans="1:10" ht="12" customHeight="1">
      <c r="A602" s="113" t="s">
        <v>174</v>
      </c>
      <c r="H602" s="118">
        <v>-1123010</v>
      </c>
      <c r="I602" s="118">
        <v>-880683</v>
      </c>
      <c r="J602" s="126">
        <f t="shared" si="68"/>
        <v>-0.21578347476870197</v>
      </c>
    </row>
    <row r="603" spans="1:10" ht="12" customHeight="1">
      <c r="A603" s="113" t="s">
        <v>49</v>
      </c>
      <c r="H603" s="118">
        <v>-136573510</v>
      </c>
      <c r="I603" s="118">
        <v>-137645150</v>
      </c>
      <c r="J603" s="313">
        <f t="shared" si="68"/>
        <v>0.00784661681463704</v>
      </c>
    </row>
    <row r="604" spans="1:10" ht="12" customHeight="1">
      <c r="A604" s="294" t="s">
        <v>50</v>
      </c>
      <c r="B604" s="301"/>
      <c r="C604" s="392"/>
      <c r="D604" s="301"/>
      <c r="E604" s="301"/>
      <c r="F604" s="392"/>
      <c r="G604" s="301"/>
      <c r="H604" s="283">
        <f>SUM(H600:H603)</f>
        <v>753086040</v>
      </c>
      <c r="I604" s="302">
        <f>SUM(I600:I603)</f>
        <v>728052809</v>
      </c>
      <c r="J604" s="303">
        <f t="shared" si="68"/>
        <v>-0.03324086448342609</v>
      </c>
    </row>
    <row r="605" spans="1:10" ht="12" customHeight="1">
      <c r="A605" s="113" t="s">
        <v>127</v>
      </c>
      <c r="H605" s="120">
        <v>-577860</v>
      </c>
      <c r="I605" s="120">
        <v>-614520</v>
      </c>
      <c r="J605" s="117">
        <f t="shared" si="68"/>
        <v>0.0634409718616966</v>
      </c>
    </row>
    <row r="606" spans="1:10" ht="12" customHeight="1">
      <c r="A606" s="113" t="s">
        <v>78</v>
      </c>
      <c r="H606" s="120">
        <v>-152690</v>
      </c>
      <c r="I606" s="120">
        <v>-152690</v>
      </c>
      <c r="J606" s="117">
        <f t="shared" si="68"/>
        <v>0</v>
      </c>
    </row>
    <row r="607" spans="1:10" ht="12" customHeight="1">
      <c r="A607" s="113" t="s">
        <v>128</v>
      </c>
      <c r="H607" s="120">
        <v>0</v>
      </c>
      <c r="I607" s="120">
        <v>0</v>
      </c>
      <c r="J607" s="117">
        <v>0</v>
      </c>
    </row>
    <row r="608" spans="1:10" ht="12" customHeight="1">
      <c r="A608" s="113" t="s">
        <v>157</v>
      </c>
      <c r="H608" s="118">
        <v>-21817710</v>
      </c>
      <c r="I608" s="118">
        <v>-29716550</v>
      </c>
      <c r="J608" s="117">
        <f>(I608-H608)/H608</f>
        <v>0.3620379957383245</v>
      </c>
    </row>
    <row r="609" spans="1:10" ht="12" customHeight="1">
      <c r="A609" s="113" t="s">
        <v>53</v>
      </c>
      <c r="H609" s="118">
        <v>0</v>
      </c>
      <c r="I609" s="118">
        <v>0</v>
      </c>
      <c r="J609" s="117">
        <v>0</v>
      </c>
    </row>
    <row r="610" spans="1:10" ht="12" customHeight="1">
      <c r="A610" s="113" t="s">
        <v>54</v>
      </c>
      <c r="H610" s="118">
        <v>0</v>
      </c>
      <c r="I610" s="118">
        <v>0</v>
      </c>
      <c r="J610" s="117">
        <v>0</v>
      </c>
    </row>
    <row r="611" spans="1:10" ht="12" customHeight="1">
      <c r="A611" s="113" t="s">
        <v>55</v>
      </c>
      <c r="H611" s="118">
        <v>0</v>
      </c>
      <c r="I611" s="118">
        <v>0</v>
      </c>
      <c r="J611" s="117">
        <v>0</v>
      </c>
    </row>
    <row r="612" spans="1:10" ht="12" customHeight="1">
      <c r="A612" s="113" t="s">
        <v>56</v>
      </c>
      <c r="H612" s="118">
        <v>-3545668</v>
      </c>
      <c r="I612" s="118">
        <v>-3772706</v>
      </c>
      <c r="J612" s="117">
        <f>(I612-H612)/H612</f>
        <v>0.06403250388925302</v>
      </c>
    </row>
    <row r="613" spans="1:10" ht="12" customHeight="1">
      <c r="A613" s="113" t="s">
        <v>57</v>
      </c>
      <c r="H613" s="120">
        <v>-38617411</v>
      </c>
      <c r="I613" s="120">
        <v>-39965013</v>
      </c>
      <c r="J613" s="117">
        <f>(I613-H613)/H613</f>
        <v>0.03489622854313045</v>
      </c>
    </row>
    <row r="614" spans="1:10" ht="12" customHeight="1">
      <c r="A614" s="113" t="s">
        <v>58</v>
      </c>
      <c r="H614" s="120">
        <v>-4330650</v>
      </c>
      <c r="I614" s="120">
        <v>-4357379</v>
      </c>
      <c r="J614" s="117">
        <f>(I614-H614)/H614</f>
        <v>0.006172052694168312</v>
      </c>
    </row>
    <row r="615" spans="1:10" ht="12" customHeight="1">
      <c r="A615" s="113" t="s">
        <v>59</v>
      </c>
      <c r="H615" s="120">
        <v>0</v>
      </c>
      <c r="I615" s="120">
        <v>0</v>
      </c>
      <c r="J615" s="313">
        <v>0</v>
      </c>
    </row>
    <row r="616" spans="1:10" ht="12" customHeight="1">
      <c r="A616" s="294" t="s">
        <v>60</v>
      </c>
      <c r="B616" s="301"/>
      <c r="C616" s="392"/>
      <c r="D616" s="301"/>
      <c r="E616" s="301"/>
      <c r="F616" s="392"/>
      <c r="G616" s="301"/>
      <c r="H616" s="283">
        <f>SUM(H604:H615)</f>
        <v>684044051</v>
      </c>
      <c r="I616" s="302">
        <f>SUM(I604:I615)</f>
        <v>649473951</v>
      </c>
      <c r="J616" s="303">
        <f>(I616-H616)/H616</f>
        <v>-0.05053782713183774</v>
      </c>
    </row>
    <row r="617" spans="1:12" ht="12" customHeight="1">
      <c r="A617" s="121" t="s">
        <v>185</v>
      </c>
      <c r="E617" s="139">
        <v>0.096293</v>
      </c>
      <c r="F617" s="143">
        <v>0.10142</v>
      </c>
      <c r="G617" s="123">
        <f>(F617-E617)/E617</f>
        <v>0.05324374565129337</v>
      </c>
      <c r="H617" s="124"/>
      <c r="I617" s="125"/>
      <c r="J617" s="117"/>
      <c r="K617" s="146"/>
      <c r="L617" s="146"/>
    </row>
    <row r="618" spans="1:12" ht="12" customHeight="1">
      <c r="A618" s="146"/>
      <c r="B618" s="104"/>
      <c r="C618" s="108"/>
      <c r="D618" s="104"/>
      <c r="E618" s="104"/>
      <c r="F618" s="108"/>
      <c r="G618" s="104"/>
      <c r="H618" s="124"/>
      <c r="I618" s="125"/>
      <c r="J618" s="146"/>
      <c r="K618" s="146"/>
      <c r="L618" s="146"/>
    </row>
    <row r="619" spans="1:10" ht="12" customHeight="1">
      <c r="A619" s="146"/>
      <c r="G619" s="123"/>
      <c r="H619" s="146"/>
      <c r="I619" s="108"/>
      <c r="J619" s="146"/>
    </row>
    <row r="620" spans="1:10" ht="12" customHeight="1">
      <c r="A620" s="121" t="s">
        <v>62</v>
      </c>
      <c r="H620" s="318">
        <f>(H616*E617)/100</f>
        <v>658686.5380294301</v>
      </c>
      <c r="I620" s="131">
        <f>(I616*F617)/100</f>
        <v>658696.4811042</v>
      </c>
      <c r="J620" s="123">
        <f>(I620-H620)/H620</f>
        <v>1.5095305878982874E-05</v>
      </c>
    </row>
    <row r="621" spans="1:10" ht="12" customHeight="1">
      <c r="A621" s="121" t="s">
        <v>18</v>
      </c>
      <c r="H621" s="112">
        <v>2878200</v>
      </c>
      <c r="I621" s="112">
        <v>3156999</v>
      </c>
      <c r="J621" s="123">
        <f>(I621-H621)/H621</f>
        <v>0.09686574942672503</v>
      </c>
    </row>
    <row r="622" spans="1:10" ht="12" customHeight="1">
      <c r="A622" s="121" t="s">
        <v>17</v>
      </c>
      <c r="H622" s="112">
        <v>41643</v>
      </c>
      <c r="I622" s="112">
        <v>42259</v>
      </c>
      <c r="J622" s="123">
        <f>(I622-H622)/H622</f>
        <v>0.01479240208438393</v>
      </c>
    </row>
    <row r="623" spans="1:10" ht="12" customHeight="1">
      <c r="A623" s="121"/>
      <c r="H623" s="118"/>
      <c r="J623" s="123"/>
    </row>
    <row r="624" spans="1:10" s="136" customFormat="1" ht="12" customHeight="1" thickBot="1">
      <c r="A624" s="132"/>
      <c r="C624" s="140"/>
      <c r="F624" s="140"/>
      <c r="H624" s="140"/>
      <c r="I624" s="140"/>
      <c r="J624" s="206"/>
    </row>
    <row r="625" spans="1:10" ht="12" customHeight="1">
      <c r="A625" s="290" t="s">
        <v>86</v>
      </c>
      <c r="B625" s="95" t="s">
        <v>32</v>
      </c>
      <c r="C625" s="372"/>
      <c r="D625" s="97"/>
      <c r="E625" s="95" t="s">
        <v>33</v>
      </c>
      <c r="F625" s="372"/>
      <c r="G625" s="97"/>
      <c r="H625" s="95" t="s">
        <v>34</v>
      </c>
      <c r="I625" s="372"/>
      <c r="J625" s="97"/>
    </row>
    <row r="626" spans="1:11" ht="12" customHeight="1">
      <c r="A626" s="9" t="s">
        <v>35</v>
      </c>
      <c r="B626" s="285" t="s">
        <v>200</v>
      </c>
      <c r="C626" s="308" t="s">
        <v>207</v>
      </c>
      <c r="D626" s="100" t="s">
        <v>67</v>
      </c>
      <c r="E626" s="285" t="str">
        <f>B626</f>
        <v>2018 Certified</v>
      </c>
      <c r="F626" s="308" t="s">
        <v>207</v>
      </c>
      <c r="G626" s="100" t="s">
        <v>67</v>
      </c>
      <c r="H626" s="101" t="str">
        <f>B626</f>
        <v>2018 Certified</v>
      </c>
      <c r="I626" s="384" t="s">
        <v>204</v>
      </c>
      <c r="J626" s="100" t="s">
        <v>67</v>
      </c>
      <c r="K626" s="287" t="s">
        <v>71</v>
      </c>
    </row>
    <row r="627" spans="1:10" ht="12" customHeight="1">
      <c r="A627" s="93" t="s">
        <v>149</v>
      </c>
      <c r="B627" s="103"/>
      <c r="C627" s="108"/>
      <c r="D627" s="105"/>
      <c r="E627" s="103"/>
      <c r="F627" s="108"/>
      <c r="G627" s="105"/>
      <c r="H627" s="103"/>
      <c r="I627" s="108"/>
      <c r="J627" s="105"/>
    </row>
    <row r="628" spans="1:11" ht="12" customHeight="1">
      <c r="A628" s="9" t="s">
        <v>36</v>
      </c>
      <c r="B628" s="107">
        <v>0</v>
      </c>
      <c r="C628" s="108">
        <v>0</v>
      </c>
      <c r="D628" s="105"/>
      <c r="E628" s="109">
        <v>7421980</v>
      </c>
      <c r="F628" s="109">
        <v>7254523</v>
      </c>
      <c r="G628" s="110">
        <f>(F628-E628)/E628</f>
        <v>-0.022562308171134925</v>
      </c>
      <c r="H628" s="107">
        <f aca="true" t="shared" si="70" ref="H628:H638">B628+E628</f>
        <v>7421980</v>
      </c>
      <c r="I628" s="108">
        <f aca="true" t="shared" si="71" ref="I628:I638">C628+F628</f>
        <v>7254523</v>
      </c>
      <c r="J628" s="110">
        <f>(I628-H628)/H628</f>
        <v>-0.022562308171134925</v>
      </c>
      <c r="K628" s="291">
        <f>I628/I639</f>
        <v>0.012107635070830675</v>
      </c>
    </row>
    <row r="629" spans="1:11" ht="12" customHeight="1">
      <c r="A629" s="9" t="s">
        <v>37</v>
      </c>
      <c r="B629" s="107">
        <v>0</v>
      </c>
      <c r="C629" s="108">
        <v>0</v>
      </c>
      <c r="D629" s="105"/>
      <c r="E629" s="109">
        <v>0</v>
      </c>
      <c r="F629" s="109">
        <v>0</v>
      </c>
      <c r="G629" s="110">
        <v>0</v>
      </c>
      <c r="H629" s="107">
        <f t="shared" si="70"/>
        <v>0</v>
      </c>
      <c r="I629" s="108">
        <f t="shared" si="71"/>
        <v>0</v>
      </c>
      <c r="J629" s="110">
        <v>0</v>
      </c>
      <c r="K629" s="291">
        <f>I629/I639</f>
        <v>0</v>
      </c>
    </row>
    <row r="630" spans="1:11" ht="12" customHeight="1">
      <c r="A630" s="9" t="s">
        <v>38</v>
      </c>
      <c r="B630" s="107">
        <v>0</v>
      </c>
      <c r="C630" s="108">
        <v>0</v>
      </c>
      <c r="D630" s="105"/>
      <c r="E630" s="109">
        <v>368060</v>
      </c>
      <c r="F630" s="109">
        <v>357193</v>
      </c>
      <c r="G630" s="110">
        <f>(F630-E630)/E630</f>
        <v>-0.029525077433027225</v>
      </c>
      <c r="H630" s="107">
        <f t="shared" si="70"/>
        <v>368060</v>
      </c>
      <c r="I630" s="108">
        <f t="shared" si="71"/>
        <v>357193</v>
      </c>
      <c r="J630" s="110">
        <f aca="true" t="shared" si="72" ref="J630:J637">(I630-H630)/H630</f>
        <v>-0.029525077433027225</v>
      </c>
      <c r="K630" s="291">
        <f>I630/I639</f>
        <v>0.0005961470511369558</v>
      </c>
    </row>
    <row r="631" spans="1:11" ht="12" customHeight="1">
      <c r="A631" s="9" t="s">
        <v>39</v>
      </c>
      <c r="B631" s="107">
        <v>0</v>
      </c>
      <c r="C631" s="108">
        <v>0</v>
      </c>
      <c r="D631" s="105"/>
      <c r="E631" s="109">
        <v>171255290</v>
      </c>
      <c r="F631" s="109">
        <v>169222078</v>
      </c>
      <c r="G631" s="110">
        <f>(F631-E631)/E631</f>
        <v>-0.011872404058292155</v>
      </c>
      <c r="H631" s="107">
        <f t="shared" si="70"/>
        <v>171255290</v>
      </c>
      <c r="I631" s="108">
        <f t="shared" si="71"/>
        <v>169222078</v>
      </c>
      <c r="J631" s="110">
        <f t="shared" si="72"/>
        <v>-0.011872404058292155</v>
      </c>
      <c r="K631" s="291">
        <f>I631/I639</f>
        <v>0.28242782693660823</v>
      </c>
    </row>
    <row r="632" spans="1:11" ht="12" customHeight="1">
      <c r="A632" s="9" t="s">
        <v>40</v>
      </c>
      <c r="B632" s="107">
        <v>53297280</v>
      </c>
      <c r="C632" s="108">
        <v>51722447</v>
      </c>
      <c r="D632" s="110">
        <f>(C632-B632)/B632</f>
        <v>-0.029548093261044465</v>
      </c>
      <c r="E632" s="109">
        <v>8348620</v>
      </c>
      <c r="F632" s="109">
        <v>9615620</v>
      </c>
      <c r="G632" s="110">
        <f>(F632-E632)/E632</f>
        <v>0.15176160850535778</v>
      </c>
      <c r="H632" s="107">
        <f t="shared" si="70"/>
        <v>61645900</v>
      </c>
      <c r="I632" s="108">
        <f t="shared" si="71"/>
        <v>61338067</v>
      </c>
      <c r="J632" s="110">
        <f t="shared" si="72"/>
        <v>-0.00499356810428593</v>
      </c>
      <c r="K632" s="291">
        <f>I632/I639</f>
        <v>0.10237184873301274</v>
      </c>
    </row>
    <row r="633" spans="1:11" ht="12" customHeight="1">
      <c r="A633" s="9" t="s">
        <v>41</v>
      </c>
      <c r="B633" s="152">
        <v>84751650</v>
      </c>
      <c r="C633" s="109">
        <v>74632722</v>
      </c>
      <c r="D633" s="110">
        <f>(C633-B633)/B633</f>
        <v>-0.11939505602545791</v>
      </c>
      <c r="E633" s="109">
        <v>0</v>
      </c>
      <c r="F633" s="109">
        <v>0</v>
      </c>
      <c r="G633" s="110">
        <v>0</v>
      </c>
      <c r="H633" s="107">
        <f t="shared" si="70"/>
        <v>84751650</v>
      </c>
      <c r="I633" s="108">
        <f t="shared" si="71"/>
        <v>74632722</v>
      </c>
      <c r="J633" s="110">
        <f t="shared" si="72"/>
        <v>-0.11939505602545791</v>
      </c>
      <c r="K633" s="291">
        <f>I633/I639</f>
        <v>0.12456032771813613</v>
      </c>
    </row>
    <row r="634" spans="1:11" ht="12" customHeight="1">
      <c r="A634" s="9" t="s">
        <v>42</v>
      </c>
      <c r="B634" s="152">
        <v>32494340</v>
      </c>
      <c r="C634" s="109">
        <v>29589780</v>
      </c>
      <c r="D634" s="110">
        <f>(C634-B634)/B634</f>
        <v>-0.08938664395091576</v>
      </c>
      <c r="E634" s="109">
        <v>4709420</v>
      </c>
      <c r="F634" s="109">
        <v>4407069</v>
      </c>
      <c r="G634" s="110">
        <f aca="true" t="shared" si="73" ref="G634:G639">(F634-E634)/E634</f>
        <v>-0.06420132415456681</v>
      </c>
      <c r="H634" s="107">
        <f t="shared" si="70"/>
        <v>37203760</v>
      </c>
      <c r="I634" s="108">
        <f t="shared" si="71"/>
        <v>33996849</v>
      </c>
      <c r="J634" s="110">
        <f t="shared" si="72"/>
        <v>-0.08619857240235933</v>
      </c>
      <c r="K634" s="291">
        <f>I634/I639</f>
        <v>0.05673997328978553</v>
      </c>
    </row>
    <row r="635" spans="1:11" ht="12" customHeight="1">
      <c r="A635" s="9" t="s">
        <v>43</v>
      </c>
      <c r="B635" s="152">
        <v>263909590</v>
      </c>
      <c r="C635" s="109">
        <v>237503123</v>
      </c>
      <c r="D635" s="110">
        <f>(C635-B635)/B635</f>
        <v>-0.10005876254818932</v>
      </c>
      <c r="E635" s="109">
        <v>5653640</v>
      </c>
      <c r="F635" s="109">
        <v>5168839</v>
      </c>
      <c r="G635" s="110">
        <f t="shared" si="73"/>
        <v>-0.08575024232176084</v>
      </c>
      <c r="H635" s="107">
        <f t="shared" si="70"/>
        <v>269563230</v>
      </c>
      <c r="I635" s="108">
        <f t="shared" si="71"/>
        <v>242671962</v>
      </c>
      <c r="J635" s="110">
        <f t="shared" si="72"/>
        <v>-0.09975866515622327</v>
      </c>
      <c r="K635" s="291">
        <f>I635/I639</f>
        <v>0.4050140247427004</v>
      </c>
    </row>
    <row r="636" spans="1:11" ht="12" customHeight="1">
      <c r="A636" s="9" t="s">
        <v>44</v>
      </c>
      <c r="B636" s="107">
        <v>0</v>
      </c>
      <c r="C636" s="108"/>
      <c r="D636" s="110"/>
      <c r="E636" s="109">
        <v>3239650</v>
      </c>
      <c r="F636" s="109">
        <v>3275331</v>
      </c>
      <c r="G636" s="110">
        <f t="shared" si="73"/>
        <v>0.011013844088095937</v>
      </c>
      <c r="H636" s="107">
        <f t="shared" si="70"/>
        <v>3239650</v>
      </c>
      <c r="I636" s="108">
        <f t="shared" si="71"/>
        <v>3275331</v>
      </c>
      <c r="J636" s="110">
        <f t="shared" si="72"/>
        <v>0.011013844088095937</v>
      </c>
      <c r="K636" s="291">
        <f>I636/I639</f>
        <v>0.005466453477944574</v>
      </c>
    </row>
    <row r="637" spans="1:11" ht="12" customHeight="1">
      <c r="A637" s="9" t="s">
        <v>45</v>
      </c>
      <c r="B637" s="107">
        <v>0</v>
      </c>
      <c r="C637" s="108">
        <v>0</v>
      </c>
      <c r="D637" s="110"/>
      <c r="E637" s="109">
        <v>0</v>
      </c>
      <c r="F637" s="109">
        <v>0</v>
      </c>
      <c r="G637" s="110" t="e">
        <f t="shared" si="73"/>
        <v>#DIV/0!</v>
      </c>
      <c r="H637" s="107">
        <f t="shared" si="70"/>
        <v>0</v>
      </c>
      <c r="I637" s="108">
        <f t="shared" si="71"/>
        <v>0</v>
      </c>
      <c r="J637" s="110" t="e">
        <f t="shared" si="72"/>
        <v>#DIV/0!</v>
      </c>
      <c r="K637" s="291">
        <f>I637/I639</f>
        <v>0</v>
      </c>
    </row>
    <row r="638" spans="1:11" ht="12" customHeight="1">
      <c r="A638" s="9" t="s">
        <v>46</v>
      </c>
      <c r="B638" s="107">
        <v>0</v>
      </c>
      <c r="C638" s="108">
        <v>0</v>
      </c>
      <c r="D638" s="292"/>
      <c r="E638" s="108">
        <v>5936760</v>
      </c>
      <c r="F638" s="108">
        <v>6420556</v>
      </c>
      <c r="G638" s="292">
        <f t="shared" si="73"/>
        <v>0.08149158800423126</v>
      </c>
      <c r="H638" s="107">
        <f t="shared" si="70"/>
        <v>5936760</v>
      </c>
      <c r="I638" s="108">
        <f t="shared" si="71"/>
        <v>6420556</v>
      </c>
      <c r="J638" s="292">
        <f aca="true" t="shared" si="74" ref="J638:J645">(I638-H638)/H638</f>
        <v>0.08149158800423126</v>
      </c>
      <c r="K638" s="293">
        <f>I638/I639</f>
        <v>0.010715762979844756</v>
      </c>
    </row>
    <row r="639" spans="1:11" ht="12" customHeight="1" thickBot="1">
      <c r="A639" s="294" t="s">
        <v>47</v>
      </c>
      <c r="B639" s="295">
        <f>SUM(B628:B638)</f>
        <v>434452860</v>
      </c>
      <c r="C639" s="296">
        <f>SUM(C628:C638)</f>
        <v>393448072</v>
      </c>
      <c r="D639" s="278">
        <f>(C639-B639)/B639</f>
        <v>-0.09438259423588558</v>
      </c>
      <c r="E639" s="295">
        <f>SUM(E628:E638)</f>
        <v>206933420</v>
      </c>
      <c r="F639" s="296">
        <f>SUM(F628:F638)</f>
        <v>205721209</v>
      </c>
      <c r="G639" s="278">
        <f t="shared" si="73"/>
        <v>-0.005857975961543573</v>
      </c>
      <c r="H639" s="314">
        <f>SUM(H628:H638)</f>
        <v>641386280</v>
      </c>
      <c r="I639" s="311">
        <f>SUM(I628:I638)</f>
        <v>599169281</v>
      </c>
      <c r="J639" s="278">
        <f t="shared" si="74"/>
        <v>-0.06582148748177151</v>
      </c>
      <c r="K639" s="117">
        <f>SUM(K628:K638)</f>
        <v>1</v>
      </c>
    </row>
    <row r="640" spans="1:10" ht="12" customHeight="1">
      <c r="A640" s="113" t="str">
        <f>A17</f>
        <v>Less Minimum Value Loss</v>
      </c>
      <c r="H640" s="112">
        <v>0</v>
      </c>
      <c r="I640" s="118">
        <v>0</v>
      </c>
      <c r="J640" s="126">
        <v>0</v>
      </c>
    </row>
    <row r="641" spans="1:10" ht="12" customHeight="1">
      <c r="A641" s="113" t="s">
        <v>174</v>
      </c>
      <c r="H641" s="118">
        <v>-220722</v>
      </c>
      <c r="I641" s="118">
        <v>-131290</v>
      </c>
      <c r="J641" s="126">
        <f t="shared" si="74"/>
        <v>-0.4051793658991854</v>
      </c>
    </row>
    <row r="642" spans="1:10" ht="12" customHeight="1">
      <c r="A642" s="113" t="s">
        <v>49</v>
      </c>
      <c r="H642" s="118">
        <v>-52958630</v>
      </c>
      <c r="I642" s="118">
        <v>-53196380</v>
      </c>
      <c r="J642" s="313">
        <f t="shared" si="74"/>
        <v>0.004489353293315934</v>
      </c>
    </row>
    <row r="643" spans="1:10" ht="12" customHeight="1">
      <c r="A643" s="294" t="s">
        <v>50</v>
      </c>
      <c r="B643" s="301"/>
      <c r="C643" s="392"/>
      <c r="D643" s="301"/>
      <c r="E643" s="301"/>
      <c r="F643" s="392"/>
      <c r="G643" s="301"/>
      <c r="H643" s="283">
        <f>SUM(H639:H642)</f>
        <v>588206928</v>
      </c>
      <c r="I643" s="302">
        <f>SUM(I639:I642)</f>
        <v>545841611</v>
      </c>
      <c r="J643" s="317">
        <f t="shared" si="74"/>
        <v>-0.07202451209483204</v>
      </c>
    </row>
    <row r="644" spans="1:10" ht="12" customHeight="1">
      <c r="A644" s="113" t="s">
        <v>127</v>
      </c>
      <c r="H644" s="120">
        <v>-491550</v>
      </c>
      <c r="I644" s="120">
        <v>-494340</v>
      </c>
      <c r="J644" s="117">
        <f t="shared" si="74"/>
        <v>0.005675923100396704</v>
      </c>
    </row>
    <row r="645" spans="1:10" ht="12" customHeight="1">
      <c r="A645" s="113" t="s">
        <v>78</v>
      </c>
      <c r="H645" s="120">
        <v>-21129310</v>
      </c>
      <c r="I645" s="120">
        <v>-21129610</v>
      </c>
      <c r="J645" s="117">
        <f t="shared" si="74"/>
        <v>1.4198286645422874E-05</v>
      </c>
    </row>
    <row r="646" spans="1:10" ht="12" customHeight="1">
      <c r="A646" s="113" t="s">
        <v>128</v>
      </c>
      <c r="H646" s="120">
        <v>0</v>
      </c>
      <c r="I646" s="120">
        <v>0</v>
      </c>
      <c r="J646" s="117">
        <v>0</v>
      </c>
    </row>
    <row r="647" spans="1:10" ht="12" customHeight="1">
      <c r="A647" s="113" t="s">
        <v>157</v>
      </c>
      <c r="H647" s="118">
        <v>-5936760</v>
      </c>
      <c r="I647" s="118">
        <v>-6619130</v>
      </c>
      <c r="J647" s="117">
        <f>(I647-H647)/H647</f>
        <v>0.11493979881282046</v>
      </c>
    </row>
    <row r="648" spans="1:10" ht="12" customHeight="1">
      <c r="A648" s="113" t="s">
        <v>53</v>
      </c>
      <c r="H648" s="118">
        <v>0</v>
      </c>
      <c r="I648" s="118">
        <v>0</v>
      </c>
      <c r="J648" s="117">
        <v>0</v>
      </c>
    </row>
    <row r="649" spans="1:10" ht="12" customHeight="1">
      <c r="A649" s="113" t="s">
        <v>54</v>
      </c>
      <c r="H649" s="118">
        <v>0</v>
      </c>
      <c r="I649" s="118">
        <v>0</v>
      </c>
      <c r="J649" s="117">
        <v>0</v>
      </c>
    </row>
    <row r="650" spans="1:10" ht="12" customHeight="1">
      <c r="A650" s="113" t="s">
        <v>55</v>
      </c>
      <c r="H650" s="118">
        <v>0</v>
      </c>
      <c r="I650" s="118">
        <v>0</v>
      </c>
      <c r="J650" s="117">
        <v>0</v>
      </c>
    </row>
    <row r="651" spans="1:10" ht="12" customHeight="1">
      <c r="A651" s="113" t="s">
        <v>56</v>
      </c>
      <c r="H651" s="118">
        <v>-1431864</v>
      </c>
      <c r="I651" s="118">
        <v>-1426138</v>
      </c>
      <c r="J651" s="117">
        <f>(I651-H651)/H651</f>
        <v>-0.0039989831436505145</v>
      </c>
    </row>
    <row r="652" spans="1:10" ht="12" customHeight="1">
      <c r="A652" s="113" t="s">
        <v>57</v>
      </c>
      <c r="H652" s="120">
        <v>-13337146</v>
      </c>
      <c r="I652" s="120">
        <v>-13390840</v>
      </c>
      <c r="J652" s="117">
        <f>(I652-H652)/H652</f>
        <v>0.004025898794239787</v>
      </c>
    </row>
    <row r="653" spans="1:10" ht="12" customHeight="1">
      <c r="A653" s="113" t="s">
        <v>58</v>
      </c>
      <c r="H653" s="120">
        <v>-1575690</v>
      </c>
      <c r="I653" s="120">
        <v>-1538165</v>
      </c>
      <c r="J653" s="117">
        <f>(I653-H653)/H653</f>
        <v>-0.023814963603246832</v>
      </c>
    </row>
    <row r="654" spans="1:10" ht="12" customHeight="1">
      <c r="A654" s="113" t="s">
        <v>59</v>
      </c>
      <c r="H654" s="120">
        <v>0</v>
      </c>
      <c r="I654" s="120">
        <v>0</v>
      </c>
      <c r="J654" s="313">
        <v>0</v>
      </c>
    </row>
    <row r="655" spans="1:10" ht="12" customHeight="1">
      <c r="A655" s="294" t="s">
        <v>60</v>
      </c>
      <c r="B655" s="301"/>
      <c r="C655" s="392"/>
      <c r="D655" s="301"/>
      <c r="E655" s="301"/>
      <c r="F655" s="392"/>
      <c r="G655" s="301"/>
      <c r="H655" s="283">
        <f>SUM(H643:H654)</f>
        <v>544304608</v>
      </c>
      <c r="I655" s="302">
        <f>SUM(I643:I654)</f>
        <v>501243388</v>
      </c>
      <c r="J655" s="317">
        <f>(I655-H655)/H655</f>
        <v>-0.07911235614599096</v>
      </c>
    </row>
    <row r="656" spans="1:12" ht="12" customHeight="1">
      <c r="A656" s="121" t="s">
        <v>185</v>
      </c>
      <c r="E656" s="139">
        <v>0.1</v>
      </c>
      <c r="F656" s="143">
        <v>0.1086</v>
      </c>
      <c r="G656" s="123">
        <f>(F656-E656)/E656</f>
        <v>0.08599999999999997</v>
      </c>
      <c r="H656" s="124"/>
      <c r="I656" s="125"/>
      <c r="J656" s="117"/>
      <c r="K656" s="146"/>
      <c r="L656" s="146"/>
    </row>
    <row r="657" spans="1:12" ht="12" customHeight="1">
      <c r="A657" s="146"/>
      <c r="B657" s="104"/>
      <c r="C657" s="108"/>
      <c r="D657" s="104"/>
      <c r="E657" s="104"/>
      <c r="F657" s="108"/>
      <c r="G657" s="104"/>
      <c r="H657" s="124"/>
      <c r="I657" s="125"/>
      <c r="J657" s="146"/>
      <c r="K657" s="146"/>
      <c r="L657" s="146"/>
    </row>
    <row r="658" spans="1:10" ht="12" customHeight="1">
      <c r="A658" s="146"/>
      <c r="G658" s="123"/>
      <c r="H658" s="146"/>
      <c r="I658" s="108"/>
      <c r="J658" s="146"/>
    </row>
    <row r="659" spans="1:10" ht="12" customHeight="1">
      <c r="A659" s="121" t="s">
        <v>62</v>
      </c>
      <c r="H659" s="268">
        <f>(H655*E656)/100</f>
        <v>544304.608</v>
      </c>
      <c r="I659" s="131">
        <f>(I655*F656)/100</f>
        <v>544350.319368</v>
      </c>
      <c r="J659" s="123">
        <f>(I659-H659)/H659</f>
        <v>8.398122545385178E-05</v>
      </c>
    </row>
    <row r="660" spans="1:10" ht="12" customHeight="1">
      <c r="A660" s="121" t="s">
        <v>18</v>
      </c>
      <c r="H660" s="112">
        <v>1782894</v>
      </c>
      <c r="I660" s="112">
        <v>451360</v>
      </c>
      <c r="J660" s="123">
        <f>(I660-H660)/H660</f>
        <v>-0.7468385669591125</v>
      </c>
    </row>
    <row r="661" spans="1:10" ht="12" customHeight="1">
      <c r="A661" s="121" t="s">
        <v>17</v>
      </c>
      <c r="H661" s="112">
        <v>41487</v>
      </c>
      <c r="I661" s="112">
        <v>41841</v>
      </c>
      <c r="J661" s="123">
        <f>(I661-H661)/H661</f>
        <v>0.008532793405163063</v>
      </c>
    </row>
    <row r="662" spans="3:11" s="220" customFormat="1" ht="12" customHeight="1" thickBot="1">
      <c r="C662" s="373"/>
      <c r="F662" s="373"/>
      <c r="I662" s="373"/>
      <c r="K662" s="221"/>
    </row>
    <row r="663" spans="1:10" ht="12" customHeight="1">
      <c r="A663" s="290" t="s">
        <v>158</v>
      </c>
      <c r="B663" s="95" t="s">
        <v>32</v>
      </c>
      <c r="C663" s="372"/>
      <c r="D663" s="97"/>
      <c r="E663" s="95" t="s">
        <v>33</v>
      </c>
      <c r="F663" s="372"/>
      <c r="G663" s="97"/>
      <c r="H663" s="95" t="s">
        <v>34</v>
      </c>
      <c r="I663" s="372"/>
      <c r="J663" s="97"/>
    </row>
    <row r="664" spans="1:11" ht="12" customHeight="1">
      <c r="A664" s="9" t="s">
        <v>35</v>
      </c>
      <c r="B664" s="285" t="s">
        <v>200</v>
      </c>
      <c r="C664" s="308" t="s">
        <v>207</v>
      </c>
      <c r="D664" s="100" t="s">
        <v>67</v>
      </c>
      <c r="E664" s="285" t="str">
        <f>B664</f>
        <v>2018 Certified</v>
      </c>
      <c r="F664" s="308" t="s">
        <v>207</v>
      </c>
      <c r="G664" s="100" t="s">
        <v>67</v>
      </c>
      <c r="H664" s="101" t="str">
        <f>B664</f>
        <v>2018 Certified</v>
      </c>
      <c r="I664" s="384" t="s">
        <v>204</v>
      </c>
      <c r="J664" s="100" t="s">
        <v>67</v>
      </c>
      <c r="K664" s="287" t="s">
        <v>71</v>
      </c>
    </row>
    <row r="665" spans="1:10" ht="12" customHeight="1">
      <c r="A665" s="93"/>
      <c r="B665" s="103"/>
      <c r="C665" s="108"/>
      <c r="D665" s="105"/>
      <c r="E665" s="103"/>
      <c r="F665" s="108"/>
      <c r="G665" s="105"/>
      <c r="H665" s="103"/>
      <c r="I665" s="108"/>
      <c r="J665" s="105"/>
    </row>
    <row r="666" spans="1:11" ht="12" customHeight="1">
      <c r="A666" s="9" t="s">
        <v>36</v>
      </c>
      <c r="B666" s="107">
        <v>0</v>
      </c>
      <c r="C666" s="108">
        <v>0</v>
      </c>
      <c r="D666" s="105"/>
      <c r="E666" s="109">
        <v>277833900</v>
      </c>
      <c r="F666" s="109">
        <v>277193204</v>
      </c>
      <c r="G666" s="110">
        <f>(F666-E666)/E666</f>
        <v>-0.0023060396877414885</v>
      </c>
      <c r="H666" s="107">
        <f aca="true" t="shared" si="75" ref="H666:H676">B666+E666</f>
        <v>277833900</v>
      </c>
      <c r="I666" s="108">
        <f aca="true" t="shared" si="76" ref="I666:I676">C666+F666</f>
        <v>277193204</v>
      </c>
      <c r="J666" s="110">
        <f>(I666-H666)/H666</f>
        <v>-0.0023060396877414885</v>
      </c>
      <c r="K666" s="291">
        <f>I666/I677</f>
        <v>0.2607775807426697</v>
      </c>
    </row>
    <row r="667" spans="1:11" ht="12" customHeight="1">
      <c r="A667" s="9" t="s">
        <v>37</v>
      </c>
      <c r="B667" s="107">
        <v>0</v>
      </c>
      <c r="C667" s="108">
        <v>0</v>
      </c>
      <c r="D667" s="105"/>
      <c r="E667" s="109">
        <v>29228790</v>
      </c>
      <c r="F667" s="109">
        <v>29749105</v>
      </c>
      <c r="G667" s="110">
        <f>(F667-E667)/E667</f>
        <v>0.01780145534591066</v>
      </c>
      <c r="H667" s="107">
        <f t="shared" si="75"/>
        <v>29228790</v>
      </c>
      <c r="I667" s="108">
        <f t="shared" si="76"/>
        <v>29749105</v>
      </c>
      <c r="J667" s="110">
        <v>0</v>
      </c>
      <c r="K667" s="291">
        <f>I667/I677</f>
        <v>0.02798733706025368</v>
      </c>
    </row>
    <row r="668" spans="1:11" ht="12" customHeight="1">
      <c r="A668" s="9" t="s">
        <v>38</v>
      </c>
      <c r="B668" s="107">
        <v>0</v>
      </c>
      <c r="C668" s="108">
        <v>0</v>
      </c>
      <c r="D668" s="105"/>
      <c r="E668" s="109">
        <v>4697060</v>
      </c>
      <c r="F668" s="109">
        <v>4212157</v>
      </c>
      <c r="G668" s="110">
        <f>(F668-E668)/E668</f>
        <v>-0.10323542811886584</v>
      </c>
      <c r="H668" s="107">
        <f t="shared" si="75"/>
        <v>4697060</v>
      </c>
      <c r="I668" s="108">
        <f t="shared" si="76"/>
        <v>4212157</v>
      </c>
      <c r="J668" s="110">
        <f aca="true" t="shared" si="77" ref="J668:J683">(I668-H668)/H668</f>
        <v>-0.10323542811886584</v>
      </c>
      <c r="K668" s="291">
        <f>I668/I677</f>
        <v>0.003962709389398671</v>
      </c>
    </row>
    <row r="669" spans="1:11" ht="12" customHeight="1">
      <c r="A669" s="9" t="s">
        <v>39</v>
      </c>
      <c r="B669" s="107">
        <v>0</v>
      </c>
      <c r="C669" s="108">
        <v>0</v>
      </c>
      <c r="D669" s="105"/>
      <c r="E669" s="109">
        <v>309699870</v>
      </c>
      <c r="F669" s="109">
        <v>310449606</v>
      </c>
      <c r="G669" s="110">
        <f>(F669-E669)/E669</f>
        <v>0.0024208469961579256</v>
      </c>
      <c r="H669" s="107">
        <f t="shared" si="75"/>
        <v>309699870</v>
      </c>
      <c r="I669" s="108">
        <f t="shared" si="76"/>
        <v>310449606</v>
      </c>
      <c r="J669" s="110">
        <f t="shared" si="77"/>
        <v>0.0024208469961579256</v>
      </c>
      <c r="K669" s="291">
        <f>I669/I677</f>
        <v>0.2920645096161701</v>
      </c>
    </row>
    <row r="670" spans="1:11" ht="12" customHeight="1">
      <c r="A670" s="9" t="s">
        <v>40</v>
      </c>
      <c r="B670" s="107">
        <v>216136600</v>
      </c>
      <c r="C670" s="108">
        <v>195716570</v>
      </c>
      <c r="D670" s="110">
        <f>(C670-B670)/B670</f>
        <v>-0.09447742770081513</v>
      </c>
      <c r="E670" s="109">
        <v>30495020</v>
      </c>
      <c r="F670" s="109">
        <v>32731748</v>
      </c>
      <c r="G670" s="110">
        <f>(F670-E670)/E670</f>
        <v>0.07334732031656316</v>
      </c>
      <c r="H670" s="107">
        <f t="shared" si="75"/>
        <v>246631620</v>
      </c>
      <c r="I670" s="108">
        <f t="shared" si="76"/>
        <v>228448318</v>
      </c>
      <c r="J670" s="110">
        <f t="shared" si="77"/>
        <v>-0.07372656433915489</v>
      </c>
      <c r="K670" s="291">
        <f>I670/I677</f>
        <v>0.21491940939782955</v>
      </c>
    </row>
    <row r="671" spans="1:11" ht="12" customHeight="1">
      <c r="A671" s="9" t="s">
        <v>41</v>
      </c>
      <c r="B671" s="107">
        <v>25380850</v>
      </c>
      <c r="C671" s="109">
        <v>31441813</v>
      </c>
      <c r="D671" s="110">
        <f>(C671-B671)/B671</f>
        <v>0.2388006311845348</v>
      </c>
      <c r="E671" s="109">
        <v>0</v>
      </c>
      <c r="F671" s="109">
        <v>0</v>
      </c>
      <c r="G671" s="110">
        <v>0</v>
      </c>
      <c r="H671" s="107">
        <f t="shared" si="75"/>
        <v>25380850</v>
      </c>
      <c r="I671" s="108">
        <f t="shared" si="76"/>
        <v>31441813</v>
      </c>
      <c r="J671" s="110">
        <f t="shared" si="77"/>
        <v>0.2388006311845348</v>
      </c>
      <c r="K671" s="291">
        <f>I671/I677</f>
        <v>0.029579801416428023</v>
      </c>
    </row>
    <row r="672" spans="1:11" ht="12" customHeight="1">
      <c r="A672" s="9" t="s">
        <v>42</v>
      </c>
      <c r="B672" s="107">
        <v>52327640</v>
      </c>
      <c r="C672" s="109">
        <v>59701527</v>
      </c>
      <c r="D672" s="110">
        <f>(C672-B672)/B672</f>
        <v>0.14091762976507252</v>
      </c>
      <c r="E672" s="109">
        <v>2905220</v>
      </c>
      <c r="F672" s="109">
        <v>2843749</v>
      </c>
      <c r="G672" s="110">
        <f aca="true" t="shared" si="78" ref="G672:G677">(F672-E672)/E672</f>
        <v>-0.02115881069247768</v>
      </c>
      <c r="H672" s="107">
        <f t="shared" si="75"/>
        <v>55232860</v>
      </c>
      <c r="I672" s="108">
        <f t="shared" si="76"/>
        <v>62545276</v>
      </c>
      <c r="J672" s="110">
        <f t="shared" si="77"/>
        <v>0.1323924924401887</v>
      </c>
      <c r="K672" s="291">
        <f>I672/I677</f>
        <v>0.0588412902149021</v>
      </c>
    </row>
    <row r="673" spans="1:11" ht="12" customHeight="1">
      <c r="A673" s="9" t="s">
        <v>43</v>
      </c>
      <c r="B673" s="107">
        <v>45966190</v>
      </c>
      <c r="C673" s="109">
        <v>44587204</v>
      </c>
      <c r="D673" s="110">
        <f>(C673-B673)/B673</f>
        <v>-0.030000006526536133</v>
      </c>
      <c r="E673" s="109">
        <v>10765440</v>
      </c>
      <c r="F673" s="109">
        <v>11711353</v>
      </c>
      <c r="G673" s="110">
        <f t="shared" si="78"/>
        <v>0.08786570730039832</v>
      </c>
      <c r="H673" s="107">
        <f t="shared" si="75"/>
        <v>56731630</v>
      </c>
      <c r="I673" s="108">
        <f t="shared" si="76"/>
        <v>56298557</v>
      </c>
      <c r="J673" s="110">
        <f t="shared" si="77"/>
        <v>-0.007633713327115755</v>
      </c>
      <c r="K673" s="291">
        <f>I673/I677</f>
        <v>0.05296450736131068</v>
      </c>
    </row>
    <row r="674" spans="1:11" ht="12" customHeight="1">
      <c r="A674" s="9" t="s">
        <v>44</v>
      </c>
      <c r="B674" s="107">
        <v>0</v>
      </c>
      <c r="C674" s="108">
        <v>0</v>
      </c>
      <c r="D674" s="110"/>
      <c r="E674" s="109">
        <v>7759280</v>
      </c>
      <c r="F674" s="109">
        <v>7529383</v>
      </c>
      <c r="G674" s="110">
        <f t="shared" si="78"/>
        <v>-0.02962865111195884</v>
      </c>
      <c r="H674" s="107">
        <f t="shared" si="75"/>
        <v>7759280</v>
      </c>
      <c r="I674" s="108">
        <f t="shared" si="76"/>
        <v>7529383</v>
      </c>
      <c r="J674" s="110">
        <f t="shared" si="77"/>
        <v>-0.02962865111195884</v>
      </c>
      <c r="K674" s="291">
        <f>I674/I677</f>
        <v>0.0070834863730100135</v>
      </c>
    </row>
    <row r="675" spans="1:11" ht="12" customHeight="1">
      <c r="A675" s="9" t="s">
        <v>45</v>
      </c>
      <c r="B675" s="107">
        <v>0</v>
      </c>
      <c r="C675" s="108">
        <v>0</v>
      </c>
      <c r="D675" s="110"/>
      <c r="E675" s="109">
        <v>4184580</v>
      </c>
      <c r="F675" s="109">
        <v>2518401</v>
      </c>
      <c r="G675" s="110">
        <f t="shared" si="78"/>
        <v>-0.39817114262363246</v>
      </c>
      <c r="H675" s="107">
        <f t="shared" si="75"/>
        <v>4184580</v>
      </c>
      <c r="I675" s="108">
        <f t="shared" si="76"/>
        <v>2518401</v>
      </c>
      <c r="J675" s="110">
        <f t="shared" si="77"/>
        <v>-0.39817114262363246</v>
      </c>
      <c r="K675" s="291">
        <f>I675/I677</f>
        <v>0.002369259096698201</v>
      </c>
    </row>
    <row r="676" spans="1:11" ht="12" customHeight="1">
      <c r="A676" s="9" t="s">
        <v>46</v>
      </c>
      <c r="B676" s="107">
        <v>0</v>
      </c>
      <c r="C676" s="108">
        <v>0</v>
      </c>
      <c r="D676" s="292"/>
      <c r="E676" s="109">
        <v>53134990</v>
      </c>
      <c r="F676" s="109">
        <v>52562932</v>
      </c>
      <c r="G676" s="292">
        <f t="shared" si="78"/>
        <v>-0.010766126049896688</v>
      </c>
      <c r="H676" s="107">
        <f t="shared" si="75"/>
        <v>53134990</v>
      </c>
      <c r="I676" s="108">
        <f t="shared" si="76"/>
        <v>52562932</v>
      </c>
      <c r="J676" s="292">
        <f t="shared" si="77"/>
        <v>-0.010766126049896688</v>
      </c>
      <c r="K676" s="293">
        <f>I676/I677</f>
        <v>0.04945010933132927</v>
      </c>
    </row>
    <row r="677" spans="1:11" ht="12" customHeight="1" thickBot="1">
      <c r="A677" s="294" t="s">
        <v>47</v>
      </c>
      <c r="B677" s="295">
        <f>SUM(B666:B676)</f>
        <v>339811280</v>
      </c>
      <c r="C677" s="296">
        <f>SUM(C666:C676)</f>
        <v>331447114</v>
      </c>
      <c r="D677" s="278">
        <f>(C677-B677)/B677</f>
        <v>-0.02461415053673321</v>
      </c>
      <c r="E677" s="295">
        <f>SUM(E666:E676)</f>
        <v>730704150</v>
      </c>
      <c r="F677" s="296">
        <f>SUM(F666:F676)</f>
        <v>731501638</v>
      </c>
      <c r="G677" s="278">
        <f t="shared" si="78"/>
        <v>0.0010913965659015347</v>
      </c>
      <c r="H677" s="314">
        <f>SUM(H666:H676)</f>
        <v>1070515430</v>
      </c>
      <c r="I677" s="311">
        <f>SUM(I666:I676)</f>
        <v>1062948752</v>
      </c>
      <c r="J677" s="278">
        <f t="shared" si="77"/>
        <v>-0.00706825683026353</v>
      </c>
      <c r="K677" s="117">
        <f>SUM(K666:K676)</f>
        <v>1</v>
      </c>
    </row>
    <row r="678" spans="1:10" ht="12" customHeight="1">
      <c r="A678" s="113" t="str">
        <f>A55</f>
        <v>Less Minimum Value Loss</v>
      </c>
      <c r="H678" s="112">
        <v>0</v>
      </c>
      <c r="I678" s="118">
        <v>0</v>
      </c>
      <c r="J678" s="126">
        <v>0</v>
      </c>
    </row>
    <row r="679" spans="1:10" ht="12" customHeight="1">
      <c r="A679" s="113" t="s">
        <v>174</v>
      </c>
      <c r="H679" s="118">
        <v>-1635130</v>
      </c>
      <c r="I679" s="118">
        <v>-676000</v>
      </c>
      <c r="J679" s="126">
        <f t="shared" si="77"/>
        <v>-0.5865772140441433</v>
      </c>
    </row>
    <row r="680" spans="1:10" ht="12" customHeight="1">
      <c r="A680" s="113" t="s">
        <v>49</v>
      </c>
      <c r="H680" s="118">
        <v>-80610510</v>
      </c>
      <c r="I680" s="118">
        <v>-81661010</v>
      </c>
      <c r="J680" s="313">
        <f t="shared" si="77"/>
        <v>0.013031799451461107</v>
      </c>
    </row>
    <row r="681" spans="1:10" ht="12" customHeight="1">
      <c r="A681" s="294" t="s">
        <v>50</v>
      </c>
      <c r="B681" s="301"/>
      <c r="C681" s="392"/>
      <c r="D681" s="301"/>
      <c r="E681" s="301"/>
      <c r="F681" s="392"/>
      <c r="G681" s="301"/>
      <c r="H681" s="283">
        <f>SUM(H677:H680)</f>
        <v>988269790</v>
      </c>
      <c r="I681" s="302">
        <f>SUM(I677:I680)</f>
        <v>980611742</v>
      </c>
      <c r="J681" s="317">
        <f t="shared" si="77"/>
        <v>-0.007748944749186353</v>
      </c>
    </row>
    <row r="682" spans="1:10" ht="12" customHeight="1">
      <c r="A682" s="113" t="s">
        <v>127</v>
      </c>
      <c r="H682" s="120">
        <v>-357230</v>
      </c>
      <c r="I682" s="120">
        <v>-390830</v>
      </c>
      <c r="J682" s="117">
        <f t="shared" si="77"/>
        <v>0.09405705007978053</v>
      </c>
    </row>
    <row r="683" spans="1:10" ht="12" customHeight="1">
      <c r="A683" s="113" t="s">
        <v>78</v>
      </c>
      <c r="H683" s="120">
        <v>-25494970</v>
      </c>
      <c r="I683" s="120">
        <v>-25494970</v>
      </c>
      <c r="J683" s="117">
        <f t="shared" si="77"/>
        <v>0</v>
      </c>
    </row>
    <row r="684" spans="1:10" ht="12" customHeight="1">
      <c r="A684" s="113" t="s">
        <v>128</v>
      </c>
      <c r="H684" s="120">
        <v>0</v>
      </c>
      <c r="I684" s="120">
        <v>0</v>
      </c>
      <c r="J684" s="117">
        <v>0</v>
      </c>
    </row>
    <row r="685" spans="1:10" ht="12" customHeight="1">
      <c r="A685" s="113" t="s">
        <v>157</v>
      </c>
      <c r="H685" s="118">
        <v>-53044170</v>
      </c>
      <c r="I685" s="118">
        <v>-54405330</v>
      </c>
      <c r="J685" s="117">
        <f>(I685-H685)/H685</f>
        <v>0.02566087847165862</v>
      </c>
    </row>
    <row r="686" spans="1:10" ht="12" customHeight="1">
      <c r="A686" s="113" t="s">
        <v>53</v>
      </c>
      <c r="H686" s="118">
        <v>0</v>
      </c>
      <c r="I686" s="118">
        <v>0</v>
      </c>
      <c r="J686" s="117">
        <v>0</v>
      </c>
    </row>
    <row r="687" spans="1:10" ht="12" customHeight="1">
      <c r="A687" s="113" t="s">
        <v>54</v>
      </c>
      <c r="H687" s="118">
        <v>0</v>
      </c>
      <c r="I687" s="118">
        <v>0</v>
      </c>
      <c r="J687" s="117">
        <v>0</v>
      </c>
    </row>
    <row r="688" spans="1:10" ht="12" customHeight="1">
      <c r="A688" s="113" t="s">
        <v>55</v>
      </c>
      <c r="H688" s="118">
        <v>0</v>
      </c>
      <c r="I688" s="118">
        <v>0</v>
      </c>
      <c r="J688" s="117">
        <v>0</v>
      </c>
    </row>
    <row r="689" spans="1:10" ht="12" customHeight="1">
      <c r="A689" s="113" t="s">
        <v>56</v>
      </c>
      <c r="H689" s="118">
        <v>-6081240</v>
      </c>
      <c r="I689" s="118">
        <v>-7026180</v>
      </c>
      <c r="J689" s="117">
        <f>(I689-H689)/H689</f>
        <v>0.1553860725773033</v>
      </c>
    </row>
    <row r="690" spans="1:10" ht="12" customHeight="1">
      <c r="A690" s="113" t="s">
        <v>57</v>
      </c>
      <c r="H690" s="120">
        <v>-72728800</v>
      </c>
      <c r="I690" s="120">
        <v>-73220108</v>
      </c>
      <c r="J690" s="117">
        <f>(I690-H690)/H690</f>
        <v>0.0067553431377941064</v>
      </c>
    </row>
    <row r="691" spans="1:10" ht="12" customHeight="1">
      <c r="A691" s="113" t="s">
        <v>58</v>
      </c>
      <c r="H691" s="120">
        <v>-4823437</v>
      </c>
      <c r="I691" s="120">
        <v>-4943116</v>
      </c>
      <c r="J691" s="117">
        <f>(I691-H691)/H691</f>
        <v>0.02481197536113771</v>
      </c>
    </row>
    <row r="692" spans="1:10" ht="12" customHeight="1">
      <c r="A692" s="113" t="s">
        <v>59</v>
      </c>
      <c r="H692" s="120">
        <v>0</v>
      </c>
      <c r="I692" s="120">
        <v>0</v>
      </c>
      <c r="J692" s="313">
        <v>0</v>
      </c>
    </row>
    <row r="693" spans="1:12" ht="12" customHeight="1">
      <c r="A693" s="294" t="s">
        <v>60</v>
      </c>
      <c r="B693" s="301"/>
      <c r="C693" s="392"/>
      <c r="D693" s="301"/>
      <c r="E693" s="301"/>
      <c r="F693" s="392"/>
      <c r="G693" s="301"/>
      <c r="H693" s="283">
        <f>SUM(H681:H692)</f>
        <v>825739943</v>
      </c>
      <c r="I693" s="302">
        <f>SUM(I681:I692)</f>
        <v>815131208</v>
      </c>
      <c r="J693" s="317">
        <f>(I693-H693)/H693</f>
        <v>-0.012847549752113663</v>
      </c>
      <c r="L693" s="146"/>
    </row>
    <row r="694" spans="1:12" ht="12" customHeight="1">
      <c r="A694" s="121" t="str">
        <f>A656</f>
        <v>Revenue Neutral Rate</v>
      </c>
      <c r="E694" s="139">
        <v>0.098738</v>
      </c>
      <c r="F694" s="143">
        <v>0.10001</v>
      </c>
      <c r="G694" s="123">
        <f>(F694-E694)/E694</f>
        <v>0.012882578136077247</v>
      </c>
      <c r="H694" s="124"/>
      <c r="I694" s="125"/>
      <c r="J694" s="117"/>
      <c r="K694" s="146"/>
      <c r="L694" s="146"/>
    </row>
    <row r="695" spans="1:11" ht="12" customHeight="1">
      <c r="A695" s="146"/>
      <c r="B695" s="104"/>
      <c r="C695" s="108"/>
      <c r="D695" s="104"/>
      <c r="E695" s="104"/>
      <c r="F695" s="108"/>
      <c r="G695" s="104"/>
      <c r="H695" s="124"/>
      <c r="I695" s="125"/>
      <c r="J695" s="146"/>
      <c r="K695" s="146"/>
    </row>
    <row r="696" spans="1:10" ht="12" customHeight="1">
      <c r="A696" s="146"/>
      <c r="G696" s="123"/>
      <c r="H696" s="146"/>
      <c r="I696" s="108"/>
      <c r="J696" s="146"/>
    </row>
    <row r="697" spans="1:10" ht="12" customHeight="1">
      <c r="A697" s="121" t="s">
        <v>62</v>
      </c>
      <c r="E697" s="336"/>
      <c r="F697" s="118"/>
      <c r="G697" s="144"/>
      <c r="H697" s="268">
        <f>(H693*E694)/100</f>
        <v>815319.10491934</v>
      </c>
      <c r="I697" s="131">
        <f>(I693*F694)/100</f>
        <v>815212.7211208001</v>
      </c>
      <c r="J697" s="123">
        <f>(I697-H697)/H697</f>
        <v>-0.00013048117957495422</v>
      </c>
    </row>
    <row r="698" spans="1:10" ht="12" customHeight="1">
      <c r="A698" s="121" t="s">
        <v>18</v>
      </c>
      <c r="H698" s="118">
        <v>19356902</v>
      </c>
      <c r="I698" s="112">
        <v>8486468</v>
      </c>
      <c r="J698" s="123">
        <f>(I698-H698)/H698</f>
        <v>-0.561579223782814</v>
      </c>
    </row>
    <row r="699" spans="1:18" s="136" customFormat="1" ht="12" customHeight="1">
      <c r="A699" s="121" t="s">
        <v>17</v>
      </c>
      <c r="B699" s="9"/>
      <c r="C699" s="112"/>
      <c r="D699" s="9"/>
      <c r="E699" s="9"/>
      <c r="F699" s="112"/>
      <c r="G699" s="9"/>
      <c r="H699" s="118">
        <v>32098</v>
      </c>
      <c r="I699" s="323">
        <v>32578</v>
      </c>
      <c r="J699" s="123">
        <f>(I699-H699)/H699</f>
        <v>0.014954202754065674</v>
      </c>
      <c r="K699" s="9"/>
      <c r="L699" s="329"/>
      <c r="M699" s="329"/>
      <c r="N699" s="329"/>
      <c r="O699" s="329"/>
      <c r="P699" s="329"/>
      <c r="Q699" s="329"/>
      <c r="R699" s="329"/>
    </row>
    <row r="700" spans="1:18" s="136" customFormat="1" ht="12" customHeight="1">
      <c r="A700" s="121"/>
      <c r="B700" s="9"/>
      <c r="C700" s="112"/>
      <c r="D700" s="9"/>
      <c r="E700" s="9"/>
      <c r="F700" s="112"/>
      <c r="G700" s="9"/>
      <c r="H700" s="118"/>
      <c r="I700" s="323"/>
      <c r="J700" s="123"/>
      <c r="K700" s="9"/>
      <c r="L700" s="329"/>
      <c r="M700" s="329"/>
      <c r="N700" s="329"/>
      <c r="O700" s="329"/>
      <c r="P700" s="329"/>
      <c r="Q700" s="329"/>
      <c r="R700" s="329"/>
    </row>
    <row r="701" spans="3:11" s="220" customFormat="1" ht="12" customHeight="1" thickBot="1">
      <c r="C701" s="373"/>
      <c r="F701" s="373"/>
      <c r="I701" s="373"/>
      <c r="K701" s="221"/>
    </row>
    <row r="702" spans="1:10" ht="12" customHeight="1">
      <c r="A702" s="290" t="s">
        <v>166</v>
      </c>
      <c r="B702" s="95" t="s">
        <v>32</v>
      </c>
      <c r="C702" s="372"/>
      <c r="D702" s="97"/>
      <c r="E702" s="95" t="s">
        <v>33</v>
      </c>
      <c r="F702" s="372"/>
      <c r="G702" s="97"/>
      <c r="H702" s="95" t="s">
        <v>34</v>
      </c>
      <c r="I702" s="372"/>
      <c r="J702" s="97"/>
    </row>
    <row r="703" spans="1:11" ht="12" customHeight="1">
      <c r="A703" s="9" t="s">
        <v>35</v>
      </c>
      <c r="B703" s="285" t="s">
        <v>200</v>
      </c>
      <c r="C703" s="308" t="s">
        <v>207</v>
      </c>
      <c r="D703" s="100" t="s">
        <v>67</v>
      </c>
      <c r="E703" s="285" t="str">
        <f>B703</f>
        <v>2018 Certified</v>
      </c>
      <c r="F703" s="308" t="s">
        <v>207</v>
      </c>
      <c r="G703" s="100" t="s">
        <v>67</v>
      </c>
      <c r="H703" s="101" t="str">
        <f>B703</f>
        <v>2018 Certified</v>
      </c>
      <c r="I703" s="384" t="s">
        <v>204</v>
      </c>
      <c r="J703" s="100" t="s">
        <v>67</v>
      </c>
      <c r="K703" s="287" t="s">
        <v>71</v>
      </c>
    </row>
    <row r="704" spans="1:10" ht="12" customHeight="1">
      <c r="A704" s="93"/>
      <c r="B704" s="103"/>
      <c r="C704" s="108"/>
      <c r="D704" s="105"/>
      <c r="E704" s="103"/>
      <c r="F704" s="108"/>
      <c r="G704" s="105"/>
      <c r="H704" s="103"/>
      <c r="I704" s="108"/>
      <c r="J704" s="105"/>
    </row>
    <row r="705" spans="1:11" ht="12" customHeight="1">
      <c r="A705" s="9" t="s">
        <v>36</v>
      </c>
      <c r="B705" s="107">
        <v>0</v>
      </c>
      <c r="C705" s="108">
        <v>0</v>
      </c>
      <c r="D705" s="105"/>
      <c r="E705" s="108">
        <v>14791830</v>
      </c>
      <c r="F705" s="109">
        <v>14425064</v>
      </c>
      <c r="G705" s="110">
        <f aca="true" t="shared" si="79" ref="G705:G716">(F705-E705)/E705</f>
        <v>-0.02479517409272551</v>
      </c>
      <c r="H705" s="107">
        <f aca="true" t="shared" si="80" ref="H705:H715">B705+E705</f>
        <v>14791830</v>
      </c>
      <c r="I705" s="108">
        <f aca="true" t="shared" si="81" ref="I705:I715">C705+F705</f>
        <v>14425064</v>
      </c>
      <c r="J705" s="110">
        <f aca="true" t="shared" si="82" ref="J705:J732">(I705-H705)/H705</f>
        <v>-0.02479517409272551</v>
      </c>
      <c r="K705" s="291">
        <f>I705/I716</f>
        <v>0.055706408225916604</v>
      </c>
    </row>
    <row r="706" spans="1:11" ht="12" customHeight="1">
      <c r="A706" s="9" t="s">
        <v>37</v>
      </c>
      <c r="B706" s="107">
        <v>0</v>
      </c>
      <c r="C706" s="108">
        <v>0</v>
      </c>
      <c r="D706" s="105"/>
      <c r="E706" s="108">
        <v>0</v>
      </c>
      <c r="F706" s="109">
        <v>0</v>
      </c>
      <c r="G706" s="110">
        <v>0</v>
      </c>
      <c r="H706" s="107">
        <f t="shared" si="80"/>
        <v>0</v>
      </c>
      <c r="I706" s="108">
        <f t="shared" si="81"/>
        <v>0</v>
      </c>
      <c r="J706" s="110">
        <v>0</v>
      </c>
      <c r="K706" s="291">
        <f>I706/I716</f>
        <v>0</v>
      </c>
    </row>
    <row r="707" spans="1:11" ht="12" customHeight="1">
      <c r="A707" s="9" t="s">
        <v>38</v>
      </c>
      <c r="B707" s="107">
        <v>0</v>
      </c>
      <c r="C707" s="108">
        <v>0</v>
      </c>
      <c r="D707" s="105"/>
      <c r="E707" s="108">
        <v>632470</v>
      </c>
      <c r="F707" s="109">
        <v>657757</v>
      </c>
      <c r="G707" s="110">
        <f t="shared" si="79"/>
        <v>0.039981342988600246</v>
      </c>
      <c r="H707" s="107">
        <f t="shared" si="80"/>
        <v>632470</v>
      </c>
      <c r="I707" s="108">
        <f t="shared" si="81"/>
        <v>657757</v>
      </c>
      <c r="J707" s="110">
        <f t="shared" si="82"/>
        <v>0.039981342988600246</v>
      </c>
      <c r="K707" s="291">
        <f>I707/I716</f>
        <v>0.0025401121239707653</v>
      </c>
    </row>
    <row r="708" spans="1:11" ht="12" customHeight="1">
      <c r="A708" s="9" t="s">
        <v>39</v>
      </c>
      <c r="B708" s="107">
        <v>0</v>
      </c>
      <c r="C708" s="108">
        <v>0</v>
      </c>
      <c r="D708" s="105"/>
      <c r="E708" s="108">
        <v>137209910</v>
      </c>
      <c r="F708" s="109">
        <v>137581114</v>
      </c>
      <c r="G708" s="110">
        <f t="shared" si="79"/>
        <v>0.0027053731031526805</v>
      </c>
      <c r="H708" s="107">
        <f t="shared" si="80"/>
        <v>137209910</v>
      </c>
      <c r="I708" s="108">
        <f t="shared" si="81"/>
        <v>137581114</v>
      </c>
      <c r="J708" s="110">
        <f t="shared" si="82"/>
        <v>0.0027053731031526805</v>
      </c>
      <c r="K708" s="291">
        <f>I708/I716</f>
        <v>0.5313078472761278</v>
      </c>
    </row>
    <row r="709" spans="1:11" ht="12" customHeight="1">
      <c r="A709" s="9" t="s">
        <v>40</v>
      </c>
      <c r="B709" s="107">
        <v>3464990</v>
      </c>
      <c r="C709" s="108">
        <v>2152993</v>
      </c>
      <c r="D709" s="110">
        <f>(C709-B709)/B709</f>
        <v>-0.3786438056098286</v>
      </c>
      <c r="E709" s="108">
        <v>11810230</v>
      </c>
      <c r="F709" s="109">
        <v>12031550</v>
      </c>
      <c r="G709" s="110">
        <f t="shared" si="79"/>
        <v>0.018739685848624454</v>
      </c>
      <c r="H709" s="107">
        <f t="shared" si="80"/>
        <v>15275220</v>
      </c>
      <c r="I709" s="108">
        <f t="shared" si="81"/>
        <v>14184543</v>
      </c>
      <c r="J709" s="110">
        <f t="shared" si="82"/>
        <v>-0.07140172121907246</v>
      </c>
      <c r="K709" s="291">
        <f>I709/I716</f>
        <v>0.05477756929578044</v>
      </c>
    </row>
    <row r="710" spans="1:11" ht="12" customHeight="1">
      <c r="A710" s="9" t="s">
        <v>41</v>
      </c>
      <c r="B710" s="152">
        <v>31258180</v>
      </c>
      <c r="C710" s="109">
        <v>26509479</v>
      </c>
      <c r="D710" s="110">
        <f>(C710-B710)/B710</f>
        <v>-0.15191866577004803</v>
      </c>
      <c r="E710" s="108">
        <v>0</v>
      </c>
      <c r="F710" s="109">
        <v>0</v>
      </c>
      <c r="G710" s="110">
        <v>0</v>
      </c>
      <c r="H710" s="107">
        <f t="shared" si="80"/>
        <v>31258180</v>
      </c>
      <c r="I710" s="108">
        <f t="shared" si="81"/>
        <v>26509479</v>
      </c>
      <c r="J710" s="110">
        <f t="shared" si="82"/>
        <v>-0.15191866577004803</v>
      </c>
      <c r="K710" s="291">
        <f>I710/I716</f>
        <v>0.1023737474600018</v>
      </c>
    </row>
    <row r="711" spans="1:11" ht="12" customHeight="1">
      <c r="A711" s="9" t="s">
        <v>42</v>
      </c>
      <c r="B711" s="152">
        <v>19492040</v>
      </c>
      <c r="C711" s="109">
        <v>17423673</v>
      </c>
      <c r="D711" s="110">
        <f>(C711-B711)/B711</f>
        <v>-0.10611341860574881</v>
      </c>
      <c r="E711" s="108">
        <v>10180</v>
      </c>
      <c r="F711" s="109">
        <v>9458</v>
      </c>
      <c r="G711" s="110">
        <f t="shared" si="79"/>
        <v>-0.07092337917485265</v>
      </c>
      <c r="H711" s="107">
        <f t="shared" si="80"/>
        <v>19502220</v>
      </c>
      <c r="I711" s="108">
        <f t="shared" si="81"/>
        <v>17433131</v>
      </c>
      <c r="J711" s="110">
        <f t="shared" si="82"/>
        <v>-0.10609504969177867</v>
      </c>
      <c r="K711" s="291">
        <f>I711/I716</f>
        <v>0.06732289798796606</v>
      </c>
    </row>
    <row r="712" spans="1:11" ht="12" customHeight="1">
      <c r="A712" s="9" t="s">
        <v>43</v>
      </c>
      <c r="B712" s="152">
        <v>37061940</v>
      </c>
      <c r="C712" s="109">
        <v>34741491</v>
      </c>
      <c r="D712" s="110">
        <f>(C712-B712)/B712</f>
        <v>-0.06261002527120814</v>
      </c>
      <c r="E712" s="108">
        <v>2955420</v>
      </c>
      <c r="F712" s="109">
        <v>3312608</v>
      </c>
      <c r="G712" s="110">
        <f t="shared" si="79"/>
        <v>0.12085862584674936</v>
      </c>
      <c r="H712" s="107">
        <f t="shared" si="80"/>
        <v>40017360</v>
      </c>
      <c r="I712" s="108">
        <f t="shared" si="81"/>
        <v>38054099</v>
      </c>
      <c r="J712" s="110">
        <f t="shared" si="82"/>
        <v>-0.04906023285893922</v>
      </c>
      <c r="K712" s="291">
        <f>I712/I716</f>
        <v>0.14695651773631263</v>
      </c>
    </row>
    <row r="713" spans="1:11" ht="12" customHeight="1">
      <c r="A713" s="9" t="s">
        <v>44</v>
      </c>
      <c r="B713" s="107">
        <v>0</v>
      </c>
      <c r="C713" s="108">
        <v>0</v>
      </c>
      <c r="D713" s="110" t="e">
        <f>(C713-B713)/B713</f>
        <v>#DIV/0!</v>
      </c>
      <c r="E713" s="108">
        <v>3480340</v>
      </c>
      <c r="F713" s="109">
        <v>3741736</v>
      </c>
      <c r="G713" s="110">
        <f t="shared" si="79"/>
        <v>0.07510645511645414</v>
      </c>
      <c r="H713" s="107">
        <f t="shared" si="80"/>
        <v>3480340</v>
      </c>
      <c r="I713" s="108">
        <f t="shared" si="81"/>
        <v>3741736</v>
      </c>
      <c r="J713" s="110">
        <f t="shared" si="82"/>
        <v>0.07510645511645414</v>
      </c>
      <c r="K713" s="291">
        <f>I713/I716</f>
        <v>0.014449757248190252</v>
      </c>
    </row>
    <row r="714" spans="1:11" ht="12" customHeight="1">
      <c r="A714" s="9" t="s">
        <v>45</v>
      </c>
      <c r="B714" s="107">
        <v>0</v>
      </c>
      <c r="C714" s="108">
        <v>0</v>
      </c>
      <c r="D714" s="110"/>
      <c r="E714" s="108">
        <v>14480</v>
      </c>
      <c r="F714" s="109">
        <v>0</v>
      </c>
      <c r="G714" s="110">
        <f t="shared" si="79"/>
        <v>-1</v>
      </c>
      <c r="H714" s="107">
        <f t="shared" si="80"/>
        <v>14480</v>
      </c>
      <c r="I714" s="108">
        <f t="shared" si="81"/>
        <v>0</v>
      </c>
      <c r="J714" s="110">
        <f t="shared" si="82"/>
        <v>-1</v>
      </c>
      <c r="K714" s="291">
        <f>I714/I716</f>
        <v>0</v>
      </c>
    </row>
    <row r="715" spans="1:14" ht="12" customHeight="1">
      <c r="A715" s="9" t="s">
        <v>46</v>
      </c>
      <c r="B715" s="107">
        <v>0</v>
      </c>
      <c r="C715" s="108">
        <v>0</v>
      </c>
      <c r="D715" s="292"/>
      <c r="E715" s="108">
        <v>6589880</v>
      </c>
      <c r="F715" s="109">
        <v>6361095</v>
      </c>
      <c r="G715" s="292">
        <f t="shared" si="79"/>
        <v>-0.0347176276351011</v>
      </c>
      <c r="H715" s="107">
        <f t="shared" si="80"/>
        <v>6589880</v>
      </c>
      <c r="I715" s="108">
        <f t="shared" si="81"/>
        <v>6361095</v>
      </c>
      <c r="J715" s="292">
        <f t="shared" si="82"/>
        <v>-0.0347176276351011</v>
      </c>
      <c r="K715" s="293">
        <f>I715/I716</f>
        <v>0.02456514264573363</v>
      </c>
      <c r="L715" s="104"/>
      <c r="M715" s="104"/>
      <c r="N715" s="104"/>
    </row>
    <row r="716" spans="1:14" ht="12" customHeight="1" thickBot="1">
      <c r="A716" s="294" t="s">
        <v>47</v>
      </c>
      <c r="B716" s="295">
        <f>SUM(B705:B715)</f>
        <v>91277150</v>
      </c>
      <c r="C716" s="296">
        <f>SUM(C705:C715)</f>
        <v>80827636</v>
      </c>
      <c r="D716" s="297">
        <f>(C716-B716)/B716</f>
        <v>-0.11448115985216453</v>
      </c>
      <c r="E716" s="295">
        <f>SUM(E705:E715)</f>
        <v>177494740</v>
      </c>
      <c r="F716" s="296">
        <f>SUM(F705:F715)</f>
        <v>178120382</v>
      </c>
      <c r="G716" s="297">
        <f t="shared" si="79"/>
        <v>0.003524848116625879</v>
      </c>
      <c r="H716" s="314">
        <f>SUM(H705:H715)</f>
        <v>268771890</v>
      </c>
      <c r="I716" s="311">
        <f>SUM(I705:I715)</f>
        <v>258948018</v>
      </c>
      <c r="J716" s="297">
        <f t="shared" si="82"/>
        <v>-0.036550965206964166</v>
      </c>
      <c r="K716" s="117">
        <f>SUM(K705:K715)</f>
        <v>1.0000000000000002</v>
      </c>
      <c r="L716" s="104"/>
      <c r="M716" s="104"/>
      <c r="N716" s="104"/>
    </row>
    <row r="717" spans="1:14" ht="12" customHeight="1">
      <c r="A717" s="113" t="s">
        <v>127</v>
      </c>
      <c r="H717" s="112">
        <v>0</v>
      </c>
      <c r="I717" s="118">
        <v>0</v>
      </c>
      <c r="J717" s="126">
        <v>0</v>
      </c>
      <c r="L717" s="104"/>
      <c r="M717" s="104"/>
      <c r="N717" s="104"/>
    </row>
    <row r="718" spans="1:14" ht="12" customHeight="1">
      <c r="A718" s="113" t="s">
        <v>174</v>
      </c>
      <c r="H718" s="118">
        <v>-254870</v>
      </c>
      <c r="I718" s="118">
        <v>-242500</v>
      </c>
      <c r="J718" s="126">
        <f t="shared" si="82"/>
        <v>-0.04853454702397301</v>
      </c>
      <c r="L718" s="104"/>
      <c r="M718" s="104"/>
      <c r="N718" s="104"/>
    </row>
    <row r="719" spans="1:14" ht="12" customHeight="1">
      <c r="A719" s="113" t="s">
        <v>49</v>
      </c>
      <c r="H719" s="118">
        <v>-43101020</v>
      </c>
      <c r="I719" s="118">
        <v>-44367960</v>
      </c>
      <c r="J719" s="313">
        <f t="shared" si="82"/>
        <v>0.029394663977789854</v>
      </c>
      <c r="L719" s="104"/>
      <c r="M719" s="104"/>
      <c r="N719" s="104"/>
    </row>
    <row r="720" spans="1:14" ht="12" customHeight="1">
      <c r="A720" s="294" t="s">
        <v>50</v>
      </c>
      <c r="B720" s="301"/>
      <c r="C720" s="392"/>
      <c r="D720" s="301"/>
      <c r="E720" s="301"/>
      <c r="F720" s="392"/>
      <c r="G720" s="301"/>
      <c r="H720" s="283">
        <f>SUM(H716+H717+H718+H719)</f>
        <v>225416000</v>
      </c>
      <c r="I720" s="302">
        <f>SUM(I716:I719)</f>
        <v>214337558</v>
      </c>
      <c r="J720" s="303">
        <f>(I720-H720)/H720</f>
        <v>-0.04914665329878979</v>
      </c>
      <c r="L720" s="104"/>
      <c r="M720" s="104"/>
      <c r="N720" s="104"/>
    </row>
    <row r="721" spans="1:14" ht="12" customHeight="1">
      <c r="A721" s="113" t="s">
        <v>127</v>
      </c>
      <c r="H721" s="120">
        <v>-227770</v>
      </c>
      <c r="I721" s="120">
        <v>-230650</v>
      </c>
      <c r="J721" s="126">
        <f t="shared" si="82"/>
        <v>0.01264433419677745</v>
      </c>
      <c r="K721" s="104"/>
      <c r="L721" s="104"/>
      <c r="M721" s="104"/>
      <c r="N721" s="104"/>
    </row>
    <row r="722" spans="1:14" ht="12" customHeight="1">
      <c r="A722" s="113" t="s">
        <v>78</v>
      </c>
      <c r="H722" s="120">
        <v>0</v>
      </c>
      <c r="I722" s="120">
        <v>0</v>
      </c>
      <c r="J722" s="126" t="e">
        <f t="shared" si="82"/>
        <v>#DIV/0!</v>
      </c>
      <c r="K722" s="104"/>
      <c r="L722" s="104"/>
      <c r="M722" s="104"/>
      <c r="N722" s="104"/>
    </row>
    <row r="723" spans="1:14" ht="12" customHeight="1">
      <c r="A723" s="113" t="s">
        <v>128</v>
      </c>
      <c r="H723" s="120">
        <v>0</v>
      </c>
      <c r="I723" s="120">
        <v>0</v>
      </c>
      <c r="J723" s="126">
        <v>0</v>
      </c>
      <c r="K723" s="104"/>
      <c r="L723" s="104"/>
      <c r="M723" s="104"/>
      <c r="N723" s="104"/>
    </row>
    <row r="724" spans="1:14" ht="12" customHeight="1">
      <c r="A724" s="113" t="s">
        <v>157</v>
      </c>
      <c r="H724" s="118">
        <v>-7778910</v>
      </c>
      <c r="I724" s="118">
        <v>-8017260</v>
      </c>
      <c r="J724" s="126">
        <f t="shared" si="82"/>
        <v>0.030640539612876355</v>
      </c>
      <c r="K724" s="104"/>
      <c r="L724" s="104"/>
      <c r="M724" s="104"/>
      <c r="N724" s="104"/>
    </row>
    <row r="725" spans="1:14" ht="12" customHeight="1">
      <c r="A725" s="113" t="s">
        <v>53</v>
      </c>
      <c r="H725" s="118">
        <v>0</v>
      </c>
      <c r="I725" s="118">
        <v>0</v>
      </c>
      <c r="J725" s="126">
        <v>0</v>
      </c>
      <c r="K725" s="104"/>
      <c r="L725" s="104"/>
      <c r="M725" s="104"/>
      <c r="N725" s="104"/>
    </row>
    <row r="726" spans="1:14" ht="12" customHeight="1">
      <c r="A726" s="113" t="s">
        <v>54</v>
      </c>
      <c r="H726" s="118">
        <v>0</v>
      </c>
      <c r="I726" s="118">
        <v>0</v>
      </c>
      <c r="J726" s="126">
        <v>0</v>
      </c>
      <c r="K726" s="104"/>
      <c r="L726" s="104"/>
      <c r="M726" s="104"/>
      <c r="N726" s="104"/>
    </row>
    <row r="727" spans="1:14" ht="12" customHeight="1">
      <c r="A727" s="113" t="s">
        <v>55</v>
      </c>
      <c r="H727" s="118">
        <v>0</v>
      </c>
      <c r="I727" s="118">
        <v>0</v>
      </c>
      <c r="J727" s="126">
        <v>0</v>
      </c>
      <c r="K727" s="104"/>
      <c r="L727" s="104"/>
      <c r="M727" s="104"/>
      <c r="N727" s="104"/>
    </row>
    <row r="728" spans="1:14" ht="12" customHeight="1">
      <c r="A728" s="113" t="s">
        <v>56</v>
      </c>
      <c r="H728" s="118">
        <v>-2098687</v>
      </c>
      <c r="I728" s="118">
        <v>-2061697</v>
      </c>
      <c r="J728" s="126">
        <f t="shared" si="82"/>
        <v>-0.01762530572686637</v>
      </c>
      <c r="K728" s="104"/>
      <c r="L728" s="104"/>
      <c r="M728" s="104"/>
      <c r="N728" s="104"/>
    </row>
    <row r="729" spans="1:14" ht="12" customHeight="1">
      <c r="A729" s="113" t="s">
        <v>57</v>
      </c>
      <c r="H729" s="120">
        <v>-13145884</v>
      </c>
      <c r="I729" s="120">
        <v>-12950946</v>
      </c>
      <c r="J729" s="126">
        <f t="shared" si="82"/>
        <v>-0.014828823987797245</v>
      </c>
      <c r="K729" s="104"/>
      <c r="L729" s="104"/>
      <c r="M729" s="104"/>
      <c r="N729" s="104"/>
    </row>
    <row r="730" spans="1:14" ht="12" customHeight="1">
      <c r="A730" s="113" t="s">
        <v>58</v>
      </c>
      <c r="H730" s="120">
        <v>-1791907</v>
      </c>
      <c r="I730" s="120">
        <v>-1819404</v>
      </c>
      <c r="J730" s="126">
        <f>(I730-H730)/H730</f>
        <v>0.015345104405529974</v>
      </c>
      <c r="K730" s="104"/>
      <c r="L730" s="104"/>
      <c r="M730" s="104"/>
      <c r="N730" s="104"/>
    </row>
    <row r="731" spans="1:14" ht="12" customHeight="1">
      <c r="A731" s="113" t="s">
        <v>59</v>
      </c>
      <c r="H731" s="120">
        <v>0</v>
      </c>
      <c r="I731" s="120">
        <v>0</v>
      </c>
      <c r="J731" s="313">
        <v>0</v>
      </c>
      <c r="L731" s="104"/>
      <c r="M731" s="104"/>
      <c r="N731" s="104"/>
    </row>
    <row r="732" spans="1:15" ht="12" customHeight="1">
      <c r="A732" s="294" t="s">
        <v>60</v>
      </c>
      <c r="B732" s="301"/>
      <c r="C732" s="392"/>
      <c r="D732" s="301"/>
      <c r="E732" s="301"/>
      <c r="F732" s="392"/>
      <c r="G732" s="301"/>
      <c r="H732" s="283">
        <f>SUM(H720:H731)</f>
        <v>200372842</v>
      </c>
      <c r="I732" s="302">
        <f>SUM(I720:I731)</f>
        <v>189257601</v>
      </c>
      <c r="J732" s="317">
        <f t="shared" si="82"/>
        <v>-0.05547279206630208</v>
      </c>
      <c r="L732" s="104"/>
      <c r="M732" s="104"/>
      <c r="N732" s="104"/>
      <c r="O732" s="104"/>
    </row>
    <row r="733" spans="1:15" ht="12" customHeight="1">
      <c r="A733" s="121" t="str">
        <f>A694</f>
        <v>Revenue Neutral Rate</v>
      </c>
      <c r="E733" s="139">
        <v>0.1</v>
      </c>
      <c r="F733" s="143">
        <v>0.10585</v>
      </c>
      <c r="G733" s="123">
        <f>(F733-E733)/E733</f>
        <v>0.05849999999999994</v>
      </c>
      <c r="H733" s="124"/>
      <c r="I733" s="125"/>
      <c r="J733" s="117"/>
      <c r="K733" s="146"/>
      <c r="L733" s="104"/>
      <c r="M733" s="104"/>
      <c r="N733" s="104"/>
      <c r="O733" s="104"/>
    </row>
    <row r="734" spans="1:11" ht="12" customHeight="1">
      <c r="A734" s="146"/>
      <c r="B734" s="104"/>
      <c r="C734" s="108"/>
      <c r="D734" s="104"/>
      <c r="E734" s="104"/>
      <c r="F734" s="108"/>
      <c r="G734" s="104"/>
      <c r="H734" s="124"/>
      <c r="I734" s="125"/>
      <c r="J734" s="146"/>
      <c r="K734" s="146"/>
    </row>
    <row r="735" spans="1:10" ht="12" customHeight="1">
      <c r="A735" s="146"/>
      <c r="G735" s="123"/>
      <c r="H735" s="146"/>
      <c r="I735" s="108"/>
      <c r="J735" s="146"/>
    </row>
    <row r="736" spans="1:10" ht="12" customHeight="1">
      <c r="A736" s="121" t="s">
        <v>62</v>
      </c>
      <c r="H736" s="268">
        <f>(H732*E733)/100</f>
        <v>200372.842</v>
      </c>
      <c r="I736" s="131">
        <f>(I732*F733)/100</f>
        <v>200329.17065850002</v>
      </c>
      <c r="J736" s="123">
        <f>(I736-H736)/H736</f>
        <v>-0.00021795040218066628</v>
      </c>
    </row>
    <row r="737" spans="1:10" ht="12" customHeight="1">
      <c r="A737" s="121" t="s">
        <v>18</v>
      </c>
      <c r="H737" s="118">
        <v>2658814</v>
      </c>
      <c r="I737" s="112">
        <v>1660133</v>
      </c>
      <c r="J737" s="123">
        <f>(I737-H737)/H737</f>
        <v>-0.3756114568375223</v>
      </c>
    </row>
    <row r="738" spans="1:10" ht="12" customHeight="1">
      <c r="A738" s="121" t="s">
        <v>17</v>
      </c>
      <c r="H738" s="118">
        <v>15436</v>
      </c>
      <c r="I738" s="112">
        <v>15556</v>
      </c>
      <c r="J738" s="123">
        <f>(I738-H738)/H738</f>
        <v>0.007774034724021767</v>
      </c>
    </row>
    <row r="739" spans="1:10" ht="12" customHeight="1">
      <c r="A739" s="121"/>
      <c r="H739" s="118"/>
      <c r="J739" s="123"/>
    </row>
    <row r="740" spans="3:11" s="220" customFormat="1" ht="12" customHeight="1" thickBot="1">
      <c r="C740" s="373"/>
      <c r="F740" s="373"/>
      <c r="I740" s="373"/>
      <c r="K740" s="221"/>
    </row>
    <row r="741" spans="1:10" ht="12" customHeight="1">
      <c r="A741" s="290" t="s">
        <v>167</v>
      </c>
      <c r="B741" s="95" t="s">
        <v>32</v>
      </c>
      <c r="C741" s="372"/>
      <c r="D741" s="97"/>
      <c r="E741" s="95" t="s">
        <v>33</v>
      </c>
      <c r="F741" s="372"/>
      <c r="G741" s="97"/>
      <c r="H741" s="95" t="s">
        <v>34</v>
      </c>
      <c r="I741" s="372"/>
      <c r="J741" s="97"/>
    </row>
    <row r="742" spans="1:11" ht="12" customHeight="1">
      <c r="A742" s="9" t="s">
        <v>35</v>
      </c>
      <c r="B742" s="285" t="s">
        <v>200</v>
      </c>
      <c r="C742" s="308" t="s">
        <v>207</v>
      </c>
      <c r="D742" s="100" t="s">
        <v>67</v>
      </c>
      <c r="E742" s="285" t="str">
        <f>B742</f>
        <v>2018 Certified</v>
      </c>
      <c r="F742" s="308" t="s">
        <v>207</v>
      </c>
      <c r="G742" s="100" t="s">
        <v>67</v>
      </c>
      <c r="H742" s="101" t="str">
        <f>B742</f>
        <v>2018 Certified</v>
      </c>
      <c r="I742" s="384" t="s">
        <v>204</v>
      </c>
      <c r="J742" s="100" t="s">
        <v>67</v>
      </c>
      <c r="K742" s="287" t="s">
        <v>71</v>
      </c>
    </row>
    <row r="743" spans="1:10" ht="12" customHeight="1">
      <c r="A743" s="93"/>
      <c r="B743" s="103"/>
      <c r="C743" s="108"/>
      <c r="D743" s="105"/>
      <c r="E743" s="103"/>
      <c r="F743" s="108"/>
      <c r="G743" s="105"/>
      <c r="H743" s="103"/>
      <c r="I743" s="108"/>
      <c r="J743" s="105"/>
    </row>
    <row r="744" spans="1:11" ht="12" customHeight="1">
      <c r="A744" s="9" t="s">
        <v>36</v>
      </c>
      <c r="B744" s="107">
        <v>0</v>
      </c>
      <c r="C744" s="108">
        <v>0</v>
      </c>
      <c r="D744" s="105"/>
      <c r="E744" s="108">
        <v>84771130</v>
      </c>
      <c r="F744" s="109">
        <v>83081489</v>
      </c>
      <c r="G744" s="110">
        <f>(F744-E744)/E744</f>
        <v>-0.019931797535316563</v>
      </c>
      <c r="H744" s="107">
        <f aca="true" t="shared" si="83" ref="H744:H754">B744+E744</f>
        <v>84771130</v>
      </c>
      <c r="I744" s="108">
        <f aca="true" t="shared" si="84" ref="I744:I754">C744+F744</f>
        <v>83081489</v>
      </c>
      <c r="J744" s="110">
        <f>(I744-H744)/H744</f>
        <v>-0.019931797535316563</v>
      </c>
      <c r="K744" s="291">
        <f>I744/I755</f>
        <v>0.15836092751949296</v>
      </c>
    </row>
    <row r="745" spans="1:11" ht="12" customHeight="1">
      <c r="A745" s="9" t="s">
        <v>37</v>
      </c>
      <c r="B745" s="107">
        <v>0</v>
      </c>
      <c r="C745" s="108">
        <v>0</v>
      </c>
      <c r="D745" s="105"/>
      <c r="E745" s="108">
        <v>1640950</v>
      </c>
      <c r="F745" s="109">
        <v>3217548</v>
      </c>
      <c r="G745" s="110">
        <f>(F745-E745)/E745</f>
        <v>0.9607836923733203</v>
      </c>
      <c r="H745" s="107">
        <f t="shared" si="83"/>
        <v>1640950</v>
      </c>
      <c r="I745" s="108">
        <f t="shared" si="84"/>
        <v>3217548</v>
      </c>
      <c r="J745" s="110">
        <f>(I745-H745)/H745</f>
        <v>0.9607836923733203</v>
      </c>
      <c r="K745" s="291">
        <f>I745/I755</f>
        <v>0.006132941185231882</v>
      </c>
    </row>
    <row r="746" spans="1:11" ht="12" customHeight="1">
      <c r="A746" s="9" t="s">
        <v>38</v>
      </c>
      <c r="B746" s="107">
        <v>0</v>
      </c>
      <c r="C746" s="108">
        <v>0</v>
      </c>
      <c r="D746" s="105"/>
      <c r="E746" s="108">
        <v>4400620</v>
      </c>
      <c r="F746" s="109">
        <v>4089716</v>
      </c>
      <c r="G746" s="110">
        <f>(F746-E746)/E746</f>
        <v>-0.07065004476641927</v>
      </c>
      <c r="H746" s="107">
        <f t="shared" si="83"/>
        <v>4400620</v>
      </c>
      <c r="I746" s="108">
        <f t="shared" si="84"/>
        <v>4089716</v>
      </c>
      <c r="J746" s="110">
        <f aca="true" t="shared" si="85" ref="J746:J761">(I746-H746)/H746</f>
        <v>-0.07065004476641927</v>
      </c>
      <c r="K746" s="291">
        <f>I746/I755</f>
        <v>0.007795373275643998</v>
      </c>
    </row>
    <row r="747" spans="1:11" ht="12" customHeight="1">
      <c r="A747" s="9" t="s">
        <v>39</v>
      </c>
      <c r="B747" s="107">
        <v>0</v>
      </c>
      <c r="C747" s="108">
        <v>0</v>
      </c>
      <c r="D747" s="105"/>
      <c r="E747" s="108">
        <v>185444530</v>
      </c>
      <c r="F747" s="109">
        <v>184411191</v>
      </c>
      <c r="G747" s="110">
        <f>(F747-E747)/E747</f>
        <v>-0.0055722269079600244</v>
      </c>
      <c r="H747" s="107">
        <f t="shared" si="83"/>
        <v>185444530</v>
      </c>
      <c r="I747" s="108">
        <f t="shared" si="84"/>
        <v>184411191</v>
      </c>
      <c r="J747" s="110">
        <f t="shared" si="85"/>
        <v>-0.0055722269079600244</v>
      </c>
      <c r="K747" s="291">
        <f>I747/I755</f>
        <v>0.35150462038221747</v>
      </c>
    </row>
    <row r="748" spans="1:11" ht="12" customHeight="1">
      <c r="A748" s="9" t="s">
        <v>40</v>
      </c>
      <c r="B748" s="107">
        <v>2490310</v>
      </c>
      <c r="C748" s="108">
        <v>2416095</v>
      </c>
      <c r="D748" s="110">
        <f>(C748-B748)/B748</f>
        <v>-0.029801510655299943</v>
      </c>
      <c r="E748" s="108">
        <v>19621050</v>
      </c>
      <c r="F748" s="109">
        <v>20846871</v>
      </c>
      <c r="G748" s="110">
        <f>(F748-E748)/E748</f>
        <v>0.062474791104451595</v>
      </c>
      <c r="H748" s="107">
        <f t="shared" si="83"/>
        <v>22111360</v>
      </c>
      <c r="I748" s="108">
        <f t="shared" si="84"/>
        <v>23262966</v>
      </c>
      <c r="J748" s="110">
        <f t="shared" si="85"/>
        <v>0.052082097166343454</v>
      </c>
      <c r="K748" s="291">
        <f>I748/I755</f>
        <v>0.04434134386559236</v>
      </c>
    </row>
    <row r="749" spans="1:11" ht="12" customHeight="1">
      <c r="A749" s="9" t="s">
        <v>41</v>
      </c>
      <c r="B749" s="152">
        <v>38779080</v>
      </c>
      <c r="C749" s="109">
        <v>34473034</v>
      </c>
      <c r="D749" s="110">
        <f>(C749-B749)/B749</f>
        <v>-0.11104043726669122</v>
      </c>
      <c r="E749" s="108">
        <v>0</v>
      </c>
      <c r="F749" s="109">
        <v>0</v>
      </c>
      <c r="G749" s="110">
        <v>0</v>
      </c>
      <c r="H749" s="107">
        <f t="shared" si="83"/>
        <v>38779080</v>
      </c>
      <c r="I749" s="108">
        <f t="shared" si="84"/>
        <v>34473034</v>
      </c>
      <c r="J749" s="110">
        <f t="shared" si="85"/>
        <v>-0.11104043726669122</v>
      </c>
      <c r="K749" s="291">
        <f>I749/I755</f>
        <v>0.06570876021072536</v>
      </c>
    </row>
    <row r="750" spans="1:11" ht="12" customHeight="1">
      <c r="A750" s="9" t="s">
        <v>42</v>
      </c>
      <c r="B750" s="152">
        <v>51605600</v>
      </c>
      <c r="C750" s="109">
        <v>42974400</v>
      </c>
      <c r="D750" s="110">
        <f>(C750-B750)/B750</f>
        <v>-0.16725316632303472</v>
      </c>
      <c r="E750" s="108">
        <v>533030</v>
      </c>
      <c r="F750" s="109">
        <v>524091</v>
      </c>
      <c r="G750" s="110">
        <f aca="true" t="shared" si="86" ref="G750:G755">(F750-E750)/E750</f>
        <v>-0.01677016303022344</v>
      </c>
      <c r="H750" s="107">
        <f t="shared" si="83"/>
        <v>52138630</v>
      </c>
      <c r="I750" s="108">
        <f t="shared" si="84"/>
        <v>43498491</v>
      </c>
      <c r="J750" s="110">
        <f t="shared" si="85"/>
        <v>-0.16571473013387578</v>
      </c>
      <c r="K750" s="291">
        <f>I750/I755</f>
        <v>0.08291210789997176</v>
      </c>
    </row>
    <row r="751" spans="1:11" ht="12" customHeight="1">
      <c r="A751" s="9" t="s">
        <v>43</v>
      </c>
      <c r="B751" s="152">
        <v>180243900</v>
      </c>
      <c r="C751" s="109">
        <v>120407982</v>
      </c>
      <c r="D751" s="110">
        <f>(C751-B751)/B751</f>
        <v>-0.33197194468162305</v>
      </c>
      <c r="E751" s="108">
        <v>7647890</v>
      </c>
      <c r="F751" s="109">
        <v>8224291</v>
      </c>
      <c r="G751" s="110">
        <f t="shared" si="86"/>
        <v>0.07536732353629563</v>
      </c>
      <c r="H751" s="107">
        <f t="shared" si="83"/>
        <v>187891790</v>
      </c>
      <c r="I751" s="108">
        <f t="shared" si="84"/>
        <v>128632273</v>
      </c>
      <c r="J751" s="110">
        <f t="shared" si="85"/>
        <v>-0.31539173159189127</v>
      </c>
      <c r="K751" s="291">
        <f>I751/I755</f>
        <v>0.24518489384826303</v>
      </c>
    </row>
    <row r="752" spans="1:11" ht="12" customHeight="1">
      <c r="A752" s="9" t="s">
        <v>44</v>
      </c>
      <c r="B752" s="107">
        <v>0</v>
      </c>
      <c r="C752" s="108"/>
      <c r="D752" s="110"/>
      <c r="E752" s="108">
        <v>6056060</v>
      </c>
      <c r="F752" s="109">
        <v>6113959</v>
      </c>
      <c r="G752" s="110">
        <f t="shared" si="86"/>
        <v>0.009560506335802485</v>
      </c>
      <c r="H752" s="107">
        <f t="shared" si="83"/>
        <v>6056060</v>
      </c>
      <c r="I752" s="108">
        <f t="shared" si="84"/>
        <v>6113959</v>
      </c>
      <c r="J752" s="110">
        <f t="shared" si="85"/>
        <v>0.009560506335802485</v>
      </c>
      <c r="K752" s="291">
        <f>I752/I755</f>
        <v>0.011653765835325264</v>
      </c>
    </row>
    <row r="753" spans="1:11" ht="12" customHeight="1">
      <c r="A753" s="9" t="s">
        <v>45</v>
      </c>
      <c r="B753" s="107">
        <v>0</v>
      </c>
      <c r="C753" s="108">
        <v>0</v>
      </c>
      <c r="D753" s="110"/>
      <c r="E753" s="108">
        <v>0</v>
      </c>
      <c r="F753" s="109">
        <v>0</v>
      </c>
      <c r="G753" s="110" t="e">
        <f>(F753+E753)/F753</f>
        <v>#DIV/0!</v>
      </c>
      <c r="H753" s="107">
        <f t="shared" si="83"/>
        <v>0</v>
      </c>
      <c r="I753" s="108">
        <f t="shared" si="84"/>
        <v>0</v>
      </c>
      <c r="J753" s="110">
        <v>0</v>
      </c>
      <c r="K753" s="291">
        <f>I753/I755</f>
        <v>0</v>
      </c>
    </row>
    <row r="754" spans="1:11" ht="12" customHeight="1">
      <c r="A754" s="9" t="s">
        <v>46</v>
      </c>
      <c r="B754" s="107">
        <v>0</v>
      </c>
      <c r="C754" s="108">
        <v>0</v>
      </c>
      <c r="D754" s="292"/>
      <c r="E754" s="108">
        <v>14381800</v>
      </c>
      <c r="F754" s="109">
        <v>13853094</v>
      </c>
      <c r="G754" s="292">
        <f t="shared" si="86"/>
        <v>-0.03676215772712734</v>
      </c>
      <c r="H754" s="107">
        <f t="shared" si="83"/>
        <v>14381800</v>
      </c>
      <c r="I754" s="108">
        <f t="shared" si="84"/>
        <v>13853094</v>
      </c>
      <c r="J754" s="292">
        <f t="shared" si="85"/>
        <v>-0.03676215772712734</v>
      </c>
      <c r="K754" s="293">
        <f>I754/I755</f>
        <v>0.0264052659775359</v>
      </c>
    </row>
    <row r="755" spans="1:11" ht="12" customHeight="1" thickBot="1">
      <c r="A755" s="294" t="s">
        <v>47</v>
      </c>
      <c r="B755" s="295">
        <f>SUM(B744:B754)</f>
        <v>273118890</v>
      </c>
      <c r="C755" s="296">
        <f>SUM(C744:C754)</f>
        <v>200271511</v>
      </c>
      <c r="D755" s="278">
        <f>(C755-B755)/B755</f>
        <v>-0.2667240592549274</v>
      </c>
      <c r="E755" s="295">
        <f>SUM(E744:E754)</f>
        <v>324497060</v>
      </c>
      <c r="F755" s="296">
        <f>SUM(F744:F754)</f>
        <v>324362250</v>
      </c>
      <c r="G755" s="278">
        <f t="shared" si="86"/>
        <v>-0.00041544290108514386</v>
      </c>
      <c r="H755" s="314">
        <f>SUM(H744:H754)</f>
        <v>597615950</v>
      </c>
      <c r="I755" s="311">
        <f>SUM(I744:I754)</f>
        <v>524633761</v>
      </c>
      <c r="J755" s="278">
        <f t="shared" si="85"/>
        <v>-0.12212222414746461</v>
      </c>
      <c r="K755" s="117">
        <f>SUM(K744:K754)</f>
        <v>1</v>
      </c>
    </row>
    <row r="756" spans="1:10" ht="12" customHeight="1">
      <c r="A756" s="113" t="s">
        <v>127</v>
      </c>
      <c r="H756" s="112">
        <v>0</v>
      </c>
      <c r="I756" s="118">
        <v>0</v>
      </c>
      <c r="J756" s="126">
        <v>0</v>
      </c>
    </row>
    <row r="757" spans="1:10" ht="12" customHeight="1">
      <c r="A757" s="113" t="s">
        <v>174</v>
      </c>
      <c r="H757" s="118">
        <v>-477750</v>
      </c>
      <c r="I757" s="118">
        <v>-317000</v>
      </c>
      <c r="J757" s="126">
        <f t="shared" si="85"/>
        <v>-0.33647305075876505</v>
      </c>
    </row>
    <row r="758" spans="1:10" ht="12" customHeight="1">
      <c r="A758" s="113" t="s">
        <v>49</v>
      </c>
      <c r="H758" s="118">
        <v>-69184130</v>
      </c>
      <c r="I758" s="118">
        <v>-68877040</v>
      </c>
      <c r="J758" s="313">
        <f t="shared" si="85"/>
        <v>-0.004438734721387694</v>
      </c>
    </row>
    <row r="759" spans="1:10" ht="12" customHeight="1">
      <c r="A759" s="294" t="s">
        <v>50</v>
      </c>
      <c r="B759" s="301"/>
      <c r="C759" s="392"/>
      <c r="D759" s="301"/>
      <c r="E759" s="301"/>
      <c r="F759" s="392"/>
      <c r="G759" s="301"/>
      <c r="H759" s="283">
        <f>SUM(H755:H758)</f>
        <v>527954070</v>
      </c>
      <c r="I759" s="302">
        <f>SUM(I755:I758)</f>
        <v>455439721</v>
      </c>
      <c r="J759" s="317">
        <f t="shared" si="85"/>
        <v>-0.13734973006269277</v>
      </c>
    </row>
    <row r="760" spans="1:10" ht="12" customHeight="1">
      <c r="A760" s="113" t="s">
        <v>127</v>
      </c>
      <c r="H760" s="120">
        <v>-387550</v>
      </c>
      <c r="I760" s="120">
        <v>-405420</v>
      </c>
      <c r="J760" s="117">
        <f t="shared" si="85"/>
        <v>0.046110179331699135</v>
      </c>
    </row>
    <row r="761" spans="1:10" ht="12" customHeight="1">
      <c r="A761" s="113" t="s">
        <v>78</v>
      </c>
      <c r="H761" s="120">
        <v>-137350</v>
      </c>
      <c r="I761" s="120">
        <v>-137350</v>
      </c>
      <c r="J761" s="117">
        <f t="shared" si="85"/>
        <v>0</v>
      </c>
    </row>
    <row r="762" spans="1:10" ht="12" customHeight="1">
      <c r="A762" s="113" t="s">
        <v>128</v>
      </c>
      <c r="H762" s="120">
        <v>0</v>
      </c>
      <c r="I762" s="120">
        <v>0</v>
      </c>
      <c r="J762" s="117">
        <v>0</v>
      </c>
    </row>
    <row r="763" spans="1:10" ht="12" customHeight="1">
      <c r="A763" s="113" t="s">
        <v>157</v>
      </c>
      <c r="H763" s="118">
        <v>-14656520</v>
      </c>
      <c r="I763" s="118">
        <v>-14749910</v>
      </c>
      <c r="J763" s="117">
        <f>(I763-H763)/H763</f>
        <v>0.006371908201946983</v>
      </c>
    </row>
    <row r="764" spans="1:10" ht="12" customHeight="1">
      <c r="A764" s="113" t="s">
        <v>53</v>
      </c>
      <c r="H764" s="118">
        <v>0</v>
      </c>
      <c r="I764" s="118">
        <v>0</v>
      </c>
      <c r="J764" s="117">
        <v>0</v>
      </c>
    </row>
    <row r="765" spans="1:10" ht="12" customHeight="1">
      <c r="A765" s="113" t="s">
        <v>54</v>
      </c>
      <c r="H765" s="118">
        <v>0</v>
      </c>
      <c r="I765" s="118">
        <v>0</v>
      </c>
      <c r="J765" s="117">
        <v>0</v>
      </c>
    </row>
    <row r="766" spans="1:10" ht="12" customHeight="1">
      <c r="A766" s="113" t="s">
        <v>55</v>
      </c>
      <c r="H766" s="118">
        <v>0</v>
      </c>
      <c r="I766" s="118">
        <v>0</v>
      </c>
      <c r="J766" s="117">
        <v>0</v>
      </c>
    </row>
    <row r="767" spans="1:10" ht="12" customHeight="1">
      <c r="A767" s="113" t="s">
        <v>56</v>
      </c>
      <c r="H767" s="118">
        <v>-2825790</v>
      </c>
      <c r="I767" s="118">
        <v>-2981650</v>
      </c>
      <c r="J767" s="117">
        <f>(I767-H767)/H767</f>
        <v>0.05515625718825532</v>
      </c>
    </row>
    <row r="768" spans="1:10" ht="12" customHeight="1">
      <c r="A768" s="113" t="s">
        <v>57</v>
      </c>
      <c r="H768" s="120">
        <v>-22974794</v>
      </c>
      <c r="I768" s="120">
        <v>-23181318</v>
      </c>
      <c r="J768" s="117">
        <f>(I768-H768)/H768</f>
        <v>0.008989155680786518</v>
      </c>
    </row>
    <row r="769" spans="1:10" ht="12" customHeight="1">
      <c r="A769" s="113" t="s">
        <v>58</v>
      </c>
      <c r="H769" s="120">
        <v>-3554780</v>
      </c>
      <c r="I769" s="120">
        <v>-3565098</v>
      </c>
      <c r="J769" s="117">
        <f>(I769-H769)/H769</f>
        <v>0.0029025706232171894</v>
      </c>
    </row>
    <row r="770" spans="1:10" ht="12" customHeight="1">
      <c r="A770" s="113" t="s">
        <v>59</v>
      </c>
      <c r="H770" s="120">
        <v>0</v>
      </c>
      <c r="I770" s="120">
        <v>0</v>
      </c>
      <c r="J770" s="313">
        <v>0</v>
      </c>
    </row>
    <row r="771" spans="1:10" ht="12" customHeight="1">
      <c r="A771" s="294" t="s">
        <v>60</v>
      </c>
      <c r="B771" s="301"/>
      <c r="C771" s="392"/>
      <c r="D771" s="301"/>
      <c r="E771" s="301"/>
      <c r="F771" s="392"/>
      <c r="G771" s="301"/>
      <c r="H771" s="283">
        <f>SUM(H759:H770)</f>
        <v>483417286</v>
      </c>
      <c r="I771" s="302">
        <f>SUM(I759:I770)</f>
        <v>410418975</v>
      </c>
      <c r="J771" s="317">
        <f>(I771-H771)/H771</f>
        <v>-0.15100475947812922</v>
      </c>
    </row>
    <row r="772" spans="1:11" ht="12" customHeight="1">
      <c r="A772" s="121" t="str">
        <f>A733</f>
        <v>Revenue Neutral Rate</v>
      </c>
      <c r="E772" s="139">
        <v>0.092888</v>
      </c>
      <c r="F772" s="143">
        <v>0.1094</v>
      </c>
      <c r="G772" s="123">
        <f>(F772-E772)/E772</f>
        <v>0.17776246662647488</v>
      </c>
      <c r="H772" s="124"/>
      <c r="I772" s="125"/>
      <c r="J772" s="117"/>
      <c r="K772" s="146"/>
    </row>
    <row r="773" spans="1:11" ht="12" customHeight="1">
      <c r="A773" s="146"/>
      <c r="B773" s="104"/>
      <c r="C773" s="108"/>
      <c r="D773" s="104"/>
      <c r="E773" s="104"/>
      <c r="F773" s="108"/>
      <c r="G773" s="104"/>
      <c r="H773" s="124"/>
      <c r="I773" s="125"/>
      <c r="J773" s="146"/>
      <c r="K773" s="146"/>
    </row>
    <row r="774" spans="1:10" ht="12" customHeight="1">
      <c r="A774" s="146"/>
      <c r="G774" s="123"/>
      <c r="H774" s="146"/>
      <c r="I774" s="108"/>
      <c r="J774" s="146"/>
    </row>
    <row r="775" spans="1:10" ht="12" customHeight="1">
      <c r="A775" s="121" t="s">
        <v>62</v>
      </c>
      <c r="H775" s="337">
        <f>(H771*E772)/100</f>
        <v>449036.64861967997</v>
      </c>
      <c r="I775" s="131">
        <f>(I771*F772)/100</f>
        <v>448998.35865</v>
      </c>
      <c r="J775" s="123">
        <f>(I775-H775)/H775</f>
        <v>-8.527136882403585E-05</v>
      </c>
    </row>
    <row r="776" spans="1:10" ht="12" customHeight="1">
      <c r="A776" s="121" t="s">
        <v>18</v>
      </c>
      <c r="H776" s="118">
        <v>2720738</v>
      </c>
      <c r="I776" s="112">
        <v>2497140</v>
      </c>
      <c r="J776" s="123">
        <f>(I776-H776)/H776</f>
        <v>-0.08218284891819792</v>
      </c>
    </row>
    <row r="777" spans="1:10" ht="12" customHeight="1">
      <c r="A777" s="121" t="s">
        <v>17</v>
      </c>
      <c r="H777" s="118">
        <v>29099</v>
      </c>
      <c r="I777" s="112">
        <v>29201</v>
      </c>
      <c r="J777" s="123">
        <f>(I777-H777)/H777</f>
        <v>0.003505275095364102</v>
      </c>
    </row>
    <row r="778" spans="1:10" ht="12" customHeight="1">
      <c r="A778" s="121"/>
      <c r="H778" s="118"/>
      <c r="J778" s="123"/>
    </row>
    <row r="779" spans="1:11" ht="12" customHeight="1" thickBot="1">
      <c r="A779" s="220"/>
      <c r="B779" s="220"/>
      <c r="C779" s="373"/>
      <c r="D779" s="220"/>
      <c r="E779" s="220"/>
      <c r="F779" s="373"/>
      <c r="G779" s="220"/>
      <c r="H779" s="220"/>
      <c r="I779" s="373"/>
      <c r="J779" s="220"/>
      <c r="K779" s="221"/>
    </row>
    <row r="780" spans="1:10" ht="12" customHeight="1">
      <c r="A780" s="290" t="s">
        <v>168</v>
      </c>
      <c r="B780" s="95" t="s">
        <v>32</v>
      </c>
      <c r="C780" s="372"/>
      <c r="D780" s="97"/>
      <c r="E780" s="95" t="s">
        <v>33</v>
      </c>
      <c r="F780" s="372"/>
      <c r="G780" s="97"/>
      <c r="H780" s="95" t="s">
        <v>34</v>
      </c>
      <c r="I780" s="372"/>
      <c r="J780" s="97"/>
    </row>
    <row r="781" spans="1:11" ht="12" customHeight="1">
      <c r="A781" s="9" t="s">
        <v>35</v>
      </c>
      <c r="B781" s="285" t="s">
        <v>200</v>
      </c>
      <c r="C781" s="308" t="s">
        <v>207</v>
      </c>
      <c r="D781" s="100" t="s">
        <v>67</v>
      </c>
      <c r="E781" s="285" t="str">
        <f>B781</f>
        <v>2018 Certified</v>
      </c>
      <c r="F781" s="308" t="s">
        <v>207</v>
      </c>
      <c r="G781" s="100" t="s">
        <v>67</v>
      </c>
      <c r="H781" s="101" t="str">
        <f>B781</f>
        <v>2018 Certified</v>
      </c>
      <c r="I781" s="384" t="s">
        <v>204</v>
      </c>
      <c r="J781" s="100" t="s">
        <v>67</v>
      </c>
      <c r="K781" s="287" t="s">
        <v>71</v>
      </c>
    </row>
    <row r="782" spans="1:10" ht="12" customHeight="1">
      <c r="A782" s="93"/>
      <c r="B782" s="103"/>
      <c r="C782" s="108"/>
      <c r="D782" s="105"/>
      <c r="E782" s="103"/>
      <c r="F782" s="108"/>
      <c r="G782" s="105"/>
      <c r="H782" s="103"/>
      <c r="I782" s="108"/>
      <c r="J782" s="105"/>
    </row>
    <row r="783" spans="1:11" ht="12" customHeight="1">
      <c r="A783" s="9" t="s">
        <v>36</v>
      </c>
      <c r="B783" s="107">
        <v>0</v>
      </c>
      <c r="C783" s="108">
        <v>0</v>
      </c>
      <c r="D783" s="105"/>
      <c r="E783" s="108">
        <v>14931060</v>
      </c>
      <c r="F783" s="109">
        <v>14806643</v>
      </c>
      <c r="G783" s="110">
        <f>(F783-E783)/E783</f>
        <v>-0.008332764050241578</v>
      </c>
      <c r="H783" s="107">
        <f aca="true" t="shared" si="87" ref="H783:H793">B783+E783</f>
        <v>14931060</v>
      </c>
      <c r="I783" s="108">
        <f aca="true" t="shared" si="88" ref="I783:I793">C783+F783</f>
        <v>14806643</v>
      </c>
      <c r="J783" s="110">
        <f>(I783-H783)/H783</f>
        <v>-0.008332764050241578</v>
      </c>
      <c r="K783" s="291">
        <f>I783/I794</f>
        <v>0.0468015903252171</v>
      </c>
    </row>
    <row r="784" spans="1:11" ht="12" customHeight="1">
      <c r="A784" s="9" t="s">
        <v>37</v>
      </c>
      <c r="B784" s="107">
        <v>0</v>
      </c>
      <c r="C784" s="108">
        <v>0</v>
      </c>
      <c r="D784" s="105"/>
      <c r="E784" s="108">
        <v>0</v>
      </c>
      <c r="F784" s="109">
        <v>0</v>
      </c>
      <c r="G784" s="110">
        <v>0</v>
      </c>
      <c r="H784" s="107">
        <f t="shared" si="87"/>
        <v>0</v>
      </c>
      <c r="I784" s="108">
        <f t="shared" si="88"/>
        <v>0</v>
      </c>
      <c r="J784" s="110">
        <v>0</v>
      </c>
      <c r="K784" s="291">
        <f>I784/I794</f>
        <v>0</v>
      </c>
    </row>
    <row r="785" spans="1:11" ht="12" customHeight="1">
      <c r="A785" s="9" t="s">
        <v>38</v>
      </c>
      <c r="B785" s="107">
        <v>0</v>
      </c>
      <c r="C785" s="108">
        <v>0</v>
      </c>
      <c r="D785" s="105"/>
      <c r="E785" s="108">
        <v>2482740</v>
      </c>
      <c r="F785" s="109">
        <v>2459998</v>
      </c>
      <c r="G785" s="110">
        <f>(F785-E785)/E785</f>
        <v>-0.009160040922529141</v>
      </c>
      <c r="H785" s="107">
        <f t="shared" si="87"/>
        <v>2482740</v>
      </c>
      <c r="I785" s="108">
        <f t="shared" si="88"/>
        <v>2459998</v>
      </c>
      <c r="J785" s="110">
        <f aca="true" t="shared" si="89" ref="J785:J799">(I785-H785)/H785</f>
        <v>-0.009160040922529141</v>
      </c>
      <c r="K785" s="291">
        <f>I785/I794</f>
        <v>0.007775686804689856</v>
      </c>
    </row>
    <row r="786" spans="1:11" ht="12" customHeight="1">
      <c r="A786" s="9" t="s">
        <v>39</v>
      </c>
      <c r="B786" s="107">
        <v>0</v>
      </c>
      <c r="C786" s="108">
        <v>0</v>
      </c>
      <c r="D786" s="105"/>
      <c r="E786" s="108">
        <v>248216030</v>
      </c>
      <c r="F786" s="109">
        <v>247883558</v>
      </c>
      <c r="G786" s="110">
        <f>(F786-E786)/E786</f>
        <v>-0.001339446126827506</v>
      </c>
      <c r="H786" s="107">
        <f t="shared" si="87"/>
        <v>248216030</v>
      </c>
      <c r="I786" s="108">
        <f t="shared" si="88"/>
        <v>247883558</v>
      </c>
      <c r="J786" s="110">
        <f t="shared" si="89"/>
        <v>-0.001339446126827506</v>
      </c>
      <c r="K786" s="291">
        <f>I786/I794</f>
        <v>0.7835229585715812</v>
      </c>
    </row>
    <row r="787" spans="1:11" ht="12" customHeight="1">
      <c r="A787" s="9" t="s">
        <v>40</v>
      </c>
      <c r="B787" s="107">
        <v>149060</v>
      </c>
      <c r="C787" s="108">
        <v>172602</v>
      </c>
      <c r="D787" s="110">
        <f>(C787-B787)/B787</f>
        <v>0.15793640144908092</v>
      </c>
      <c r="E787" s="108">
        <v>3156880</v>
      </c>
      <c r="F787" s="109">
        <v>3336441</v>
      </c>
      <c r="G787" s="110">
        <f>(F787-E787)/E787</f>
        <v>0.05687926053571881</v>
      </c>
      <c r="H787" s="107">
        <f t="shared" si="87"/>
        <v>3305940</v>
      </c>
      <c r="I787" s="108">
        <f t="shared" si="88"/>
        <v>3509043</v>
      </c>
      <c r="J787" s="110">
        <f t="shared" si="89"/>
        <v>0.061435779233742896</v>
      </c>
      <c r="K787" s="291">
        <f>I787/I794</f>
        <v>0.01109156159972053</v>
      </c>
    </row>
    <row r="788" spans="1:11" ht="12" customHeight="1">
      <c r="A788" s="9" t="s">
        <v>41</v>
      </c>
      <c r="B788" s="152">
        <v>10092400</v>
      </c>
      <c r="C788" s="109">
        <v>11508536</v>
      </c>
      <c r="D788" s="110">
        <f>(C788-B788)/B788</f>
        <v>0.14031707027069876</v>
      </c>
      <c r="E788" s="108">
        <v>0</v>
      </c>
      <c r="F788" s="109">
        <v>0</v>
      </c>
      <c r="G788" s="110">
        <v>0</v>
      </c>
      <c r="H788" s="107">
        <f t="shared" si="87"/>
        <v>10092400</v>
      </c>
      <c r="I788" s="108">
        <f t="shared" si="88"/>
        <v>11508536</v>
      </c>
      <c r="J788" s="110">
        <f t="shared" si="89"/>
        <v>0.14031707027069876</v>
      </c>
      <c r="K788" s="291">
        <f>I788/I794</f>
        <v>0.03637676596342687</v>
      </c>
    </row>
    <row r="789" spans="1:11" ht="12" customHeight="1">
      <c r="A789" s="9" t="s">
        <v>42</v>
      </c>
      <c r="B789" s="152">
        <v>20480110</v>
      </c>
      <c r="C789" s="109">
        <v>17458549</v>
      </c>
      <c r="D789" s="110">
        <f>(C789-B789)/B789</f>
        <v>-0.14753636577147292</v>
      </c>
      <c r="E789" s="108">
        <v>53520</v>
      </c>
      <c r="F789" s="109">
        <v>61711</v>
      </c>
      <c r="G789" s="110">
        <f aca="true" t="shared" si="90" ref="G789:G794">(F789-E789)/E789</f>
        <v>0.15304559043348281</v>
      </c>
      <c r="H789" s="107">
        <f t="shared" si="87"/>
        <v>20533630</v>
      </c>
      <c r="I789" s="108">
        <f t="shared" si="88"/>
        <v>17520260</v>
      </c>
      <c r="J789" s="110">
        <f t="shared" si="89"/>
        <v>-0.14675291217383385</v>
      </c>
      <c r="K789" s="291">
        <f>I789/I794</f>
        <v>0.055378928965281876</v>
      </c>
    </row>
    <row r="790" spans="1:11" ht="12" customHeight="1">
      <c r="A790" s="9" t="s">
        <v>43</v>
      </c>
      <c r="B790" s="152">
        <v>1730270</v>
      </c>
      <c r="C790" s="109">
        <v>863543</v>
      </c>
      <c r="D790" s="110">
        <f>(C790-B790)/B790</f>
        <v>-0.5009200876163836</v>
      </c>
      <c r="E790" s="108">
        <v>3072800</v>
      </c>
      <c r="F790" s="109">
        <v>2969248</v>
      </c>
      <c r="G790" s="110">
        <f t="shared" si="90"/>
        <v>-0.03369955740692528</v>
      </c>
      <c r="H790" s="107">
        <f t="shared" si="87"/>
        <v>4803070</v>
      </c>
      <c r="I790" s="108">
        <f t="shared" si="88"/>
        <v>3832791</v>
      </c>
      <c r="J790" s="110">
        <f t="shared" si="89"/>
        <v>-0.20201225466212236</v>
      </c>
      <c r="K790" s="291">
        <f>I790/I794</f>
        <v>0.012114880745364036</v>
      </c>
    </row>
    <row r="791" spans="1:11" ht="12" customHeight="1">
      <c r="A791" s="9" t="s">
        <v>44</v>
      </c>
      <c r="B791" s="107">
        <v>0</v>
      </c>
      <c r="C791" s="108">
        <v>0</v>
      </c>
      <c r="D791" s="110"/>
      <c r="E791" s="108">
        <v>5086110</v>
      </c>
      <c r="F791" s="109">
        <v>5111415</v>
      </c>
      <c r="G791" s="110">
        <f t="shared" si="90"/>
        <v>0.004975315122952512</v>
      </c>
      <c r="H791" s="107">
        <f t="shared" si="87"/>
        <v>5086110</v>
      </c>
      <c r="I791" s="108">
        <f t="shared" si="88"/>
        <v>5111415</v>
      </c>
      <c r="J791" s="110">
        <f t="shared" si="89"/>
        <v>0.004975315122952512</v>
      </c>
      <c r="K791" s="291">
        <f>I791/I794</f>
        <v>0.016156420520989773</v>
      </c>
    </row>
    <row r="792" spans="1:11" ht="12" customHeight="1">
      <c r="A792" s="9" t="s">
        <v>45</v>
      </c>
      <c r="B792" s="107">
        <v>0</v>
      </c>
      <c r="C792" s="108">
        <v>0</v>
      </c>
      <c r="D792" s="110"/>
      <c r="E792" s="108">
        <v>55760</v>
      </c>
      <c r="F792" s="109">
        <v>54087</v>
      </c>
      <c r="G792" s="110">
        <v>0</v>
      </c>
      <c r="H792" s="107">
        <f t="shared" si="87"/>
        <v>55760</v>
      </c>
      <c r="I792" s="108">
        <f t="shared" si="88"/>
        <v>54087</v>
      </c>
      <c r="J792" s="110">
        <v>0</v>
      </c>
      <c r="K792" s="291">
        <f>I792/I794</f>
        <v>0.0001709609407020901</v>
      </c>
    </row>
    <row r="793" spans="1:11" ht="12" customHeight="1">
      <c r="A793" s="9" t="s">
        <v>46</v>
      </c>
      <c r="B793" s="107">
        <v>0</v>
      </c>
      <c r="C793" s="108">
        <v>0</v>
      </c>
      <c r="D793" s="292"/>
      <c r="E793" s="108">
        <v>10335050</v>
      </c>
      <c r="F793" s="109">
        <v>9684179</v>
      </c>
      <c r="G793" s="292">
        <f t="shared" si="90"/>
        <v>-0.062977053812028</v>
      </c>
      <c r="H793" s="107">
        <f t="shared" si="87"/>
        <v>10335050</v>
      </c>
      <c r="I793" s="108">
        <f t="shared" si="88"/>
        <v>9684179</v>
      </c>
      <c r="J793" s="292">
        <f t="shared" si="89"/>
        <v>-0.062977053812028</v>
      </c>
      <c r="K793" s="293">
        <f>I793/I794</f>
        <v>0.030610245563026717</v>
      </c>
    </row>
    <row r="794" spans="1:11" ht="12" customHeight="1" thickBot="1">
      <c r="A794" s="294" t="s">
        <v>47</v>
      </c>
      <c r="B794" s="295">
        <f>SUM(B783:B793)</f>
        <v>32451840</v>
      </c>
      <c r="C794" s="296">
        <f>SUM(C783:C793)</f>
        <v>30003230</v>
      </c>
      <c r="D794" s="278">
        <f>(C794-B794)/B794</f>
        <v>-0.07545365686506528</v>
      </c>
      <c r="E794" s="295">
        <f>SUM(E783:E793)</f>
        <v>287389950</v>
      </c>
      <c r="F794" s="296">
        <f>SUM(F783:F793)</f>
        <v>286367280</v>
      </c>
      <c r="G794" s="278">
        <f t="shared" si="90"/>
        <v>-0.003558475165885237</v>
      </c>
      <c r="H794" s="314">
        <f>SUM(H783:H793)</f>
        <v>319841790</v>
      </c>
      <c r="I794" s="311">
        <f>SUM(I783:I793)</f>
        <v>316370510</v>
      </c>
      <c r="J794" s="278">
        <f t="shared" si="89"/>
        <v>-0.010853115848307377</v>
      </c>
      <c r="K794" s="117">
        <f>SUM(K783:K793)</f>
        <v>1</v>
      </c>
    </row>
    <row r="795" spans="1:10" ht="12" customHeight="1">
      <c r="A795" s="113" t="s">
        <v>127</v>
      </c>
      <c r="H795" s="112">
        <v>0</v>
      </c>
      <c r="I795" s="118">
        <v>0</v>
      </c>
      <c r="J795" s="126">
        <v>0</v>
      </c>
    </row>
    <row r="796" spans="1:10" ht="12" customHeight="1">
      <c r="A796" s="113" t="s">
        <v>174</v>
      </c>
      <c r="H796" s="118">
        <v>-904210</v>
      </c>
      <c r="I796" s="118">
        <v>-620472</v>
      </c>
      <c r="J796" s="126">
        <f t="shared" si="89"/>
        <v>-0.31379657380475773</v>
      </c>
    </row>
    <row r="797" spans="1:10" ht="12" customHeight="1">
      <c r="A797" s="113" t="s">
        <v>49</v>
      </c>
      <c r="H797" s="118">
        <v>-92079810</v>
      </c>
      <c r="I797" s="118">
        <v>-93913570</v>
      </c>
      <c r="J797" s="313">
        <f t="shared" si="89"/>
        <v>0.019914897739254676</v>
      </c>
    </row>
    <row r="798" spans="1:10" ht="12" customHeight="1">
      <c r="A798" s="294" t="s">
        <v>50</v>
      </c>
      <c r="B798" s="301"/>
      <c r="C798" s="392"/>
      <c r="D798" s="301"/>
      <c r="E798" s="301"/>
      <c r="F798" s="392"/>
      <c r="G798" s="301"/>
      <c r="H798" s="283">
        <f>SUM(H794:H797)</f>
        <v>226857770</v>
      </c>
      <c r="I798" s="302">
        <f>SUM(I794:I797)</f>
        <v>221836468</v>
      </c>
      <c r="J798" s="317">
        <f t="shared" si="89"/>
        <v>-0.02213414158130885</v>
      </c>
    </row>
    <row r="799" spans="1:10" ht="12" customHeight="1">
      <c r="A799" s="113" t="s">
        <v>127</v>
      </c>
      <c r="H799" s="120">
        <v>-187892</v>
      </c>
      <c r="I799" s="120">
        <v>-189062</v>
      </c>
      <c r="J799" s="117">
        <f t="shared" si="89"/>
        <v>0.006226981457432994</v>
      </c>
    </row>
    <row r="800" spans="1:10" ht="12" customHeight="1">
      <c r="A800" s="113" t="s">
        <v>78</v>
      </c>
      <c r="H800" s="120">
        <v>0</v>
      </c>
      <c r="I800" s="120">
        <v>0</v>
      </c>
      <c r="J800" s="117">
        <v>0</v>
      </c>
    </row>
    <row r="801" spans="1:10" ht="12" customHeight="1">
      <c r="A801" s="113" t="s">
        <v>128</v>
      </c>
      <c r="H801" s="120">
        <v>0</v>
      </c>
      <c r="I801" s="120">
        <v>0</v>
      </c>
      <c r="J801" s="117">
        <v>0</v>
      </c>
    </row>
    <row r="802" spans="1:10" ht="12" customHeight="1">
      <c r="A802" s="113" t="s">
        <v>157</v>
      </c>
      <c r="H802" s="118">
        <v>-10326830</v>
      </c>
      <c r="I802" s="118">
        <v>-9971480</v>
      </c>
      <c r="J802" s="117">
        <f>(I802-H802)/H802</f>
        <v>-0.03441036600776812</v>
      </c>
    </row>
    <row r="803" spans="1:10" ht="12" customHeight="1">
      <c r="A803" s="113" t="s">
        <v>53</v>
      </c>
      <c r="H803" s="118">
        <v>0</v>
      </c>
      <c r="I803" s="118">
        <v>0</v>
      </c>
      <c r="J803" s="117">
        <v>0</v>
      </c>
    </row>
    <row r="804" spans="1:10" ht="12" customHeight="1">
      <c r="A804" s="113" t="s">
        <v>54</v>
      </c>
      <c r="H804" s="118">
        <v>0</v>
      </c>
      <c r="I804" s="118">
        <v>0</v>
      </c>
      <c r="J804" s="117">
        <v>0</v>
      </c>
    </row>
    <row r="805" spans="1:10" ht="12" customHeight="1">
      <c r="A805" s="113" t="s">
        <v>55</v>
      </c>
      <c r="H805" s="118">
        <v>0</v>
      </c>
      <c r="I805" s="118">
        <v>0</v>
      </c>
      <c r="J805" s="117">
        <v>0</v>
      </c>
    </row>
    <row r="806" spans="1:10" ht="12" customHeight="1">
      <c r="A806" s="113" t="s">
        <v>56</v>
      </c>
      <c r="H806" s="118">
        <v>-1888150</v>
      </c>
      <c r="I806" s="118">
        <v>-2177490</v>
      </c>
      <c r="J806" s="117">
        <f>(I806-H806)/H806</f>
        <v>0.15323994386039244</v>
      </c>
    </row>
    <row r="807" spans="1:10" ht="12" customHeight="1">
      <c r="A807" s="113" t="s">
        <v>57</v>
      </c>
      <c r="H807" s="120">
        <v>-22066591</v>
      </c>
      <c r="I807" s="120">
        <v>-22518051</v>
      </c>
      <c r="J807" s="117">
        <f>(I807-H807)/H807</f>
        <v>0.02045898254061989</v>
      </c>
    </row>
    <row r="808" spans="1:10" ht="12" customHeight="1">
      <c r="A808" s="113" t="s">
        <v>58</v>
      </c>
      <c r="H808" s="120">
        <v>-2172832</v>
      </c>
      <c r="I808" s="120">
        <v>-2251890</v>
      </c>
      <c r="J808" s="117">
        <f>(I808-H808)/H808</f>
        <v>0.03638477342012636</v>
      </c>
    </row>
    <row r="809" spans="1:10" ht="12" customHeight="1">
      <c r="A809" s="113" t="s">
        <v>59</v>
      </c>
      <c r="H809" s="120">
        <v>0</v>
      </c>
      <c r="I809" s="120">
        <v>0</v>
      </c>
      <c r="J809" s="313">
        <v>0</v>
      </c>
    </row>
    <row r="810" spans="1:10" ht="12" customHeight="1">
      <c r="A810" s="294" t="s">
        <v>60</v>
      </c>
      <c r="B810" s="301"/>
      <c r="C810" s="392"/>
      <c r="D810" s="301"/>
      <c r="E810" s="301"/>
      <c r="F810" s="392"/>
      <c r="G810" s="301"/>
      <c r="H810" s="283">
        <f>SUM(H798:H809)</f>
        <v>190215475</v>
      </c>
      <c r="I810" s="302">
        <f>SUM(I798:I809)</f>
        <v>184728495</v>
      </c>
      <c r="J810" s="317">
        <f>(I810-H810)/H810</f>
        <v>-0.028846128318424143</v>
      </c>
    </row>
    <row r="811" spans="1:11" ht="12" customHeight="1">
      <c r="A811" s="121" t="str">
        <f>A772</f>
        <v>Revenue Neutral Rate</v>
      </c>
      <c r="E811" s="141">
        <v>0.1</v>
      </c>
      <c r="F811" s="143">
        <v>0.103</v>
      </c>
      <c r="G811" s="123">
        <f>(F811-E811)/E811</f>
        <v>0.029999999999999888</v>
      </c>
      <c r="H811" s="124"/>
      <c r="I811" s="125"/>
      <c r="J811" s="117"/>
      <c r="K811" s="146"/>
    </row>
    <row r="812" spans="1:11" ht="12" customHeight="1">
      <c r="A812" s="146"/>
      <c r="B812" s="104"/>
      <c r="C812" s="108"/>
      <c r="D812" s="104"/>
      <c r="E812" s="104"/>
      <c r="F812" s="108"/>
      <c r="G812" s="104"/>
      <c r="H812" s="124"/>
      <c r="I812" s="125"/>
      <c r="J812" s="146"/>
      <c r="K812" s="146"/>
    </row>
    <row r="813" spans="1:10" ht="12" customHeight="1">
      <c r="A813" s="146"/>
      <c r="G813" s="123"/>
      <c r="H813" s="146"/>
      <c r="I813" s="108"/>
      <c r="J813" s="146"/>
    </row>
    <row r="814" spans="1:10" ht="12" customHeight="1">
      <c r="A814" s="121" t="s">
        <v>62</v>
      </c>
      <c r="H814" s="268">
        <f>(H810*E811)/100</f>
        <v>190215.475</v>
      </c>
      <c r="I814" s="131">
        <f>(I810*F811)/100</f>
        <v>190270.34985</v>
      </c>
      <c r="J814" s="123">
        <f>(I814-H814)/H814</f>
        <v>0.00028848783202309314</v>
      </c>
    </row>
    <row r="815" spans="1:10" ht="12" customHeight="1">
      <c r="A815" s="121" t="s">
        <v>18</v>
      </c>
      <c r="H815" s="118">
        <v>2733631</v>
      </c>
      <c r="I815" s="112">
        <v>1968396</v>
      </c>
      <c r="J815" s="123">
        <f>(I815-H815)/H815</f>
        <v>-0.27993353894508805</v>
      </c>
    </row>
    <row r="816" spans="1:10" ht="12" customHeight="1">
      <c r="A816" s="121" t="s">
        <v>17</v>
      </c>
      <c r="H816" s="118">
        <v>8388</v>
      </c>
      <c r="I816" s="112">
        <v>8415</v>
      </c>
      <c r="J816" s="123">
        <f>(I816-H816)/H816</f>
        <v>0.003218884120171674</v>
      </c>
    </row>
    <row r="817" spans="1:10" ht="12" customHeight="1">
      <c r="A817" s="121"/>
      <c r="H817" s="118"/>
      <c r="J817" s="123"/>
    </row>
    <row r="818" spans="1:11" ht="12" customHeight="1" thickBot="1">
      <c r="A818" s="220"/>
      <c r="B818" s="220"/>
      <c r="C818" s="373"/>
      <c r="D818" s="220"/>
      <c r="E818" s="220"/>
      <c r="F818" s="373"/>
      <c r="G818" s="220"/>
      <c r="H818" s="220"/>
      <c r="I818" s="373"/>
      <c r="J818" s="220"/>
      <c r="K818" s="221"/>
    </row>
    <row r="819" spans="1:10" ht="12" customHeight="1">
      <c r="A819" s="290" t="s">
        <v>184</v>
      </c>
      <c r="B819" s="95" t="s">
        <v>32</v>
      </c>
      <c r="C819" s="372"/>
      <c r="D819" s="97"/>
      <c r="E819" s="95" t="s">
        <v>33</v>
      </c>
      <c r="F819" s="372"/>
      <c r="G819" s="97"/>
      <c r="H819" s="95" t="s">
        <v>34</v>
      </c>
      <c r="I819" s="372"/>
      <c r="J819" s="97"/>
    </row>
    <row r="820" spans="1:11" ht="12" customHeight="1">
      <c r="A820" s="9" t="s">
        <v>35</v>
      </c>
      <c r="B820" s="285" t="s">
        <v>200</v>
      </c>
      <c r="C820" s="308" t="s">
        <v>207</v>
      </c>
      <c r="D820" s="100" t="s">
        <v>67</v>
      </c>
      <c r="E820" s="285" t="str">
        <f>B820</f>
        <v>2018 Certified</v>
      </c>
      <c r="F820" s="308" t="s">
        <v>207</v>
      </c>
      <c r="G820" s="100" t="s">
        <v>67</v>
      </c>
      <c r="H820" s="101" t="str">
        <f>B820</f>
        <v>2018 Certified</v>
      </c>
      <c r="I820" s="384" t="s">
        <v>204</v>
      </c>
      <c r="J820" s="100" t="s">
        <v>67</v>
      </c>
      <c r="K820" s="287" t="s">
        <v>71</v>
      </c>
    </row>
    <row r="821" spans="1:11" s="104" customFormat="1" ht="12" customHeight="1">
      <c r="A821" s="93"/>
      <c r="B821" s="103"/>
      <c r="C821" s="108"/>
      <c r="D821" s="105"/>
      <c r="E821" s="103"/>
      <c r="F821" s="108"/>
      <c r="G821" s="105"/>
      <c r="H821" s="103"/>
      <c r="I821" s="108"/>
      <c r="J821" s="105"/>
      <c r="K821" s="9"/>
    </row>
    <row r="822" spans="1:11" s="326" customFormat="1" ht="12" customHeight="1">
      <c r="A822" s="9" t="s">
        <v>36</v>
      </c>
      <c r="B822" s="107">
        <v>0</v>
      </c>
      <c r="C822" s="108">
        <v>0</v>
      </c>
      <c r="D822" s="105"/>
      <c r="E822" s="109">
        <v>19566610</v>
      </c>
      <c r="F822" s="109">
        <v>21111323</v>
      </c>
      <c r="G822" s="110">
        <f>(F822-E822)/E822</f>
        <v>0.07894637854998898</v>
      </c>
      <c r="H822" s="107">
        <f aca="true" t="shared" si="91" ref="H822:H832">B822+E822</f>
        <v>19566610</v>
      </c>
      <c r="I822" s="108">
        <f aca="true" t="shared" si="92" ref="I822:I832">C822+F822</f>
        <v>21111323</v>
      </c>
      <c r="J822" s="110">
        <f>(I822-H822)/H822</f>
        <v>0.07894637854998898</v>
      </c>
      <c r="K822" s="291">
        <f>I822/I833</f>
        <v>0.08121466863968116</v>
      </c>
    </row>
    <row r="823" spans="1:11" s="104" customFormat="1" ht="12" customHeight="1">
      <c r="A823" s="9" t="s">
        <v>37</v>
      </c>
      <c r="B823" s="107">
        <v>0</v>
      </c>
      <c r="C823" s="108">
        <v>0</v>
      </c>
      <c r="D823" s="105"/>
      <c r="E823" s="109">
        <v>0</v>
      </c>
      <c r="F823" s="109">
        <v>0</v>
      </c>
      <c r="G823" s="110">
        <v>0</v>
      </c>
      <c r="H823" s="107">
        <f t="shared" si="91"/>
        <v>0</v>
      </c>
      <c r="I823" s="108">
        <f t="shared" si="92"/>
        <v>0</v>
      </c>
      <c r="J823" s="110">
        <v>0</v>
      </c>
      <c r="K823" s="291">
        <f>I823/I833</f>
        <v>0</v>
      </c>
    </row>
    <row r="824" spans="1:11" s="104" customFormat="1" ht="12" customHeight="1">
      <c r="A824" s="9" t="s">
        <v>38</v>
      </c>
      <c r="B824" s="107">
        <v>0</v>
      </c>
      <c r="C824" s="108">
        <v>0</v>
      </c>
      <c r="D824" s="105"/>
      <c r="E824" s="109">
        <v>816680</v>
      </c>
      <c r="F824" s="109">
        <v>709720</v>
      </c>
      <c r="G824" s="110">
        <f>(F824-E824)/E824</f>
        <v>-0.13096929029730126</v>
      </c>
      <c r="H824" s="107">
        <f t="shared" si="91"/>
        <v>816680</v>
      </c>
      <c r="I824" s="108">
        <f t="shared" si="92"/>
        <v>709720</v>
      </c>
      <c r="J824" s="110">
        <f aca="true" t="shared" si="93" ref="J824:J833">(I824-H824)/H824</f>
        <v>-0.13096929029730126</v>
      </c>
      <c r="K824" s="291">
        <f>I824/I833</f>
        <v>0.002730272973747524</v>
      </c>
    </row>
    <row r="825" spans="1:11" s="104" customFormat="1" ht="12" customHeight="1">
      <c r="A825" s="9" t="s">
        <v>39</v>
      </c>
      <c r="B825" s="107">
        <v>0</v>
      </c>
      <c r="C825" s="108">
        <v>0</v>
      </c>
      <c r="D825" s="105"/>
      <c r="E825" s="109">
        <v>133965810</v>
      </c>
      <c r="F825" s="109">
        <v>133400909</v>
      </c>
      <c r="G825" s="110">
        <f>(F825-E825)/E825</f>
        <v>-0.004216755006370656</v>
      </c>
      <c r="H825" s="107">
        <f t="shared" si="91"/>
        <v>133965810</v>
      </c>
      <c r="I825" s="108">
        <f t="shared" si="92"/>
        <v>133400909</v>
      </c>
      <c r="J825" s="110">
        <f t="shared" si="93"/>
        <v>-0.004216755006370656</v>
      </c>
      <c r="K825" s="291">
        <f>I825/I833</f>
        <v>0.5131895628079424</v>
      </c>
    </row>
    <row r="826" spans="1:11" s="104" customFormat="1" ht="12" customHeight="1">
      <c r="A826" s="9" t="s">
        <v>40</v>
      </c>
      <c r="B826" s="107">
        <v>0</v>
      </c>
      <c r="C826" s="108">
        <v>0</v>
      </c>
      <c r="D826" s="110"/>
      <c r="E826" s="109">
        <v>1266940</v>
      </c>
      <c r="F826" s="109">
        <v>1426977</v>
      </c>
      <c r="G826" s="110">
        <f>(F826-E826)/E826</f>
        <v>0.12631774196094528</v>
      </c>
      <c r="H826" s="107">
        <f t="shared" si="91"/>
        <v>1266940</v>
      </c>
      <c r="I826" s="108">
        <f t="shared" si="92"/>
        <v>1426977</v>
      </c>
      <c r="J826" s="110">
        <f t="shared" si="93"/>
        <v>0.12631774196094528</v>
      </c>
      <c r="K826" s="291">
        <f>I826/I833</f>
        <v>0.005489540575521785</v>
      </c>
    </row>
    <row r="827" spans="1:11" s="104" customFormat="1" ht="12" customHeight="1">
      <c r="A827" s="9" t="s">
        <v>41</v>
      </c>
      <c r="B827" s="152">
        <v>33501600</v>
      </c>
      <c r="C827" s="109">
        <v>73857930</v>
      </c>
      <c r="D827" s="110">
        <f>(C827-B827)/B827</f>
        <v>1.2046090335983952</v>
      </c>
      <c r="E827" s="109">
        <v>0</v>
      </c>
      <c r="F827" s="109">
        <v>0</v>
      </c>
      <c r="G827" s="110">
        <v>0</v>
      </c>
      <c r="H827" s="107">
        <f t="shared" si="91"/>
        <v>33501600</v>
      </c>
      <c r="I827" s="108">
        <f t="shared" si="92"/>
        <v>73857930</v>
      </c>
      <c r="J827" s="110">
        <f t="shared" si="93"/>
        <v>1.2046090335983952</v>
      </c>
      <c r="K827" s="291">
        <f>I827/I833</f>
        <v>0.2841293893027342</v>
      </c>
    </row>
    <row r="828" spans="1:11" s="104" customFormat="1" ht="12" customHeight="1">
      <c r="A828" s="9" t="s">
        <v>42</v>
      </c>
      <c r="B828" s="152">
        <v>12626670</v>
      </c>
      <c r="C828" s="109">
        <v>13851439</v>
      </c>
      <c r="D828" s="110">
        <f>(C828-B828)/B828</f>
        <v>0.09699857523796852</v>
      </c>
      <c r="E828" s="109">
        <v>28480</v>
      </c>
      <c r="F828" s="109">
        <v>33640</v>
      </c>
      <c r="G828" s="110">
        <f aca="true" t="shared" si="94" ref="G828:G833">(F828-E828)/E828</f>
        <v>0.18117977528089887</v>
      </c>
      <c r="H828" s="107">
        <f t="shared" si="91"/>
        <v>12655150</v>
      </c>
      <c r="I828" s="108">
        <f t="shared" si="92"/>
        <v>13885079</v>
      </c>
      <c r="J828" s="110">
        <f t="shared" si="93"/>
        <v>0.09718802226761437</v>
      </c>
      <c r="K828" s="291">
        <f>I828/I833</f>
        <v>0.05341551024636378</v>
      </c>
    </row>
    <row r="829" spans="1:11" s="104" customFormat="1" ht="12" customHeight="1">
      <c r="A829" s="9" t="s">
        <v>43</v>
      </c>
      <c r="B829" s="152">
        <v>8316280</v>
      </c>
      <c r="C829" s="109">
        <v>6190152</v>
      </c>
      <c r="D829" s="110">
        <f>(C829-B829)/B829</f>
        <v>-0.2556585396355101</v>
      </c>
      <c r="E829" s="109">
        <v>2256060</v>
      </c>
      <c r="F829" s="109">
        <v>2219981</v>
      </c>
      <c r="G829" s="110">
        <f t="shared" si="94"/>
        <v>-0.0159920392188151</v>
      </c>
      <c r="H829" s="107">
        <f t="shared" si="91"/>
        <v>10572340</v>
      </c>
      <c r="I829" s="108">
        <f t="shared" si="92"/>
        <v>8410133</v>
      </c>
      <c r="J829" s="110">
        <f t="shared" si="93"/>
        <v>-0.20451546204529933</v>
      </c>
      <c r="K829" s="291">
        <f>I829/I833</f>
        <v>0.032353546237279755</v>
      </c>
    </row>
    <row r="830" spans="1:11" s="104" customFormat="1" ht="12" customHeight="1">
      <c r="A830" s="9" t="s">
        <v>44</v>
      </c>
      <c r="B830" s="107">
        <v>0</v>
      </c>
      <c r="C830" s="108">
        <v>0</v>
      </c>
      <c r="D830" s="110"/>
      <c r="E830" s="109">
        <v>2778550</v>
      </c>
      <c r="F830" s="109">
        <v>2996126</v>
      </c>
      <c r="G830" s="110">
        <f t="shared" si="94"/>
        <v>0.0783055910456893</v>
      </c>
      <c r="H830" s="107">
        <f t="shared" si="91"/>
        <v>2778550</v>
      </c>
      <c r="I830" s="108">
        <f t="shared" si="92"/>
        <v>2996126</v>
      </c>
      <c r="J830" s="110">
        <f t="shared" si="93"/>
        <v>0.0783055910456893</v>
      </c>
      <c r="K830" s="291">
        <f>I830/I833</f>
        <v>0.011526012855410972</v>
      </c>
    </row>
    <row r="831" spans="1:15" s="104" customFormat="1" ht="12" customHeight="1">
      <c r="A831" s="9" t="s">
        <v>45</v>
      </c>
      <c r="B831" s="107">
        <v>0</v>
      </c>
      <c r="C831" s="108">
        <v>0</v>
      </c>
      <c r="D831" s="110"/>
      <c r="E831" s="109">
        <v>84120</v>
      </c>
      <c r="F831" s="109">
        <v>81596</v>
      </c>
      <c r="G831" s="110">
        <f t="shared" si="94"/>
        <v>-0.030004755111745125</v>
      </c>
      <c r="H831" s="107">
        <f t="shared" si="91"/>
        <v>84120</v>
      </c>
      <c r="I831" s="108">
        <f t="shared" si="92"/>
        <v>81596</v>
      </c>
      <c r="J831" s="110">
        <f t="shared" si="93"/>
        <v>-0.030004755111745125</v>
      </c>
      <c r="K831" s="291">
        <f>I831/I833</f>
        <v>0.00031389752799118386</v>
      </c>
      <c r="O831" s="326"/>
    </row>
    <row r="832" spans="1:11" s="104" customFormat="1" ht="12" customHeight="1">
      <c r="A832" s="9" t="s">
        <v>46</v>
      </c>
      <c r="B832" s="107">
        <v>0</v>
      </c>
      <c r="C832" s="108">
        <v>0</v>
      </c>
      <c r="D832" s="292"/>
      <c r="E832" s="109">
        <v>4052770</v>
      </c>
      <c r="F832" s="109">
        <v>4064911</v>
      </c>
      <c r="G832" s="292">
        <f t="shared" si="94"/>
        <v>0.0029957288471835312</v>
      </c>
      <c r="H832" s="107">
        <f t="shared" si="91"/>
        <v>4052770</v>
      </c>
      <c r="I832" s="108">
        <f t="shared" si="92"/>
        <v>4064911</v>
      </c>
      <c r="J832" s="292">
        <f t="shared" si="93"/>
        <v>0.0029957288471835312</v>
      </c>
      <c r="K832" s="293">
        <f>I832/I833</f>
        <v>0.01563759883332726</v>
      </c>
    </row>
    <row r="833" spans="1:11" s="104" customFormat="1" ht="12" customHeight="1" thickBot="1">
      <c r="A833" s="294" t="s">
        <v>47</v>
      </c>
      <c r="B833" s="295">
        <f>SUM(B822:B832)</f>
        <v>54444550</v>
      </c>
      <c r="C833" s="296">
        <f>SUM(C822:C832)</f>
        <v>93899521</v>
      </c>
      <c r="D833" s="278">
        <f>(C833-B833)/B833</f>
        <v>0.7246817358211244</v>
      </c>
      <c r="E833" s="295">
        <f>SUM(E822:E832)</f>
        <v>164816020</v>
      </c>
      <c r="F833" s="296">
        <f>SUM(F822:F832)</f>
        <v>166045183</v>
      </c>
      <c r="G833" s="297">
        <f t="shared" si="94"/>
        <v>0.007457788387318175</v>
      </c>
      <c r="H833" s="314">
        <f>SUM(H822:H832)</f>
        <v>219260570</v>
      </c>
      <c r="I833" s="311">
        <f>SUM(I822:I832)</f>
        <v>259944704</v>
      </c>
      <c r="J833" s="278">
        <f t="shared" si="93"/>
        <v>0.18555152894111332</v>
      </c>
      <c r="K833" s="117">
        <f>SUM(K822:K832)</f>
        <v>1</v>
      </c>
    </row>
    <row r="834" spans="1:11" s="104" customFormat="1" ht="12" customHeight="1">
      <c r="A834" s="113" t="s">
        <v>127</v>
      </c>
      <c r="B834" s="9"/>
      <c r="C834" s="112"/>
      <c r="D834" s="9"/>
      <c r="E834" s="9"/>
      <c r="F834" s="112"/>
      <c r="G834" s="9"/>
      <c r="H834" s="112">
        <v>0</v>
      </c>
      <c r="I834" s="118">
        <v>0</v>
      </c>
      <c r="J834" s="126">
        <v>0</v>
      </c>
      <c r="K834" s="9"/>
    </row>
    <row r="835" spans="1:11" s="104" customFormat="1" ht="12" customHeight="1">
      <c r="A835" s="113" t="s">
        <v>174</v>
      </c>
      <c r="B835" s="9"/>
      <c r="C835" s="112"/>
      <c r="D835" s="9"/>
      <c r="E835" s="9"/>
      <c r="F835" s="112"/>
      <c r="G835" s="9"/>
      <c r="H835" s="109">
        <v>-323510</v>
      </c>
      <c r="I835" s="118">
        <v>-124550</v>
      </c>
      <c r="J835" s="126">
        <f>(I835-H835)/H835</f>
        <v>-0.6150041729776514</v>
      </c>
      <c r="K835" s="9"/>
    </row>
    <row r="836" spans="1:11" s="104" customFormat="1" ht="12" customHeight="1">
      <c r="A836" s="113" t="s">
        <v>49</v>
      </c>
      <c r="B836" s="9"/>
      <c r="C836" s="112"/>
      <c r="D836" s="9"/>
      <c r="E836" s="9"/>
      <c r="F836" s="112"/>
      <c r="G836" s="9"/>
      <c r="H836" s="109">
        <v>-38308960</v>
      </c>
      <c r="I836" s="118">
        <v>-37987960</v>
      </c>
      <c r="J836" s="313">
        <f>(I836-H836)/H836</f>
        <v>-0.008379240783357209</v>
      </c>
      <c r="K836" s="9"/>
    </row>
    <row r="837" spans="1:11" s="104" customFormat="1" ht="12" customHeight="1">
      <c r="A837" s="294" t="s">
        <v>50</v>
      </c>
      <c r="B837" s="301"/>
      <c r="C837" s="392"/>
      <c r="D837" s="301"/>
      <c r="E837" s="301"/>
      <c r="F837" s="392"/>
      <c r="G837" s="301"/>
      <c r="H837" s="283">
        <f>SUM(H833:H836)</f>
        <v>180628100</v>
      </c>
      <c r="I837" s="302">
        <f>SUM(I833:I836)</f>
        <v>221832194</v>
      </c>
      <c r="J837" s="317">
        <f>(I837-H837)/H837</f>
        <v>0.22811563649288233</v>
      </c>
      <c r="K837" s="9"/>
    </row>
    <row r="838" spans="1:11" s="104" customFormat="1" ht="12" customHeight="1">
      <c r="A838" s="113" t="s">
        <v>127</v>
      </c>
      <c r="B838" s="9"/>
      <c r="C838" s="112"/>
      <c r="D838" s="9"/>
      <c r="E838" s="9"/>
      <c r="F838" s="112"/>
      <c r="G838" s="9"/>
      <c r="H838" s="131">
        <v>-271460</v>
      </c>
      <c r="I838" s="120">
        <v>-279000</v>
      </c>
      <c r="J838" s="117">
        <f>(I838-H838)/H838</f>
        <v>0.027775731231120607</v>
      </c>
      <c r="K838" s="9"/>
    </row>
    <row r="839" spans="1:11" s="104" customFormat="1" ht="12" customHeight="1">
      <c r="A839" s="113" t="s">
        <v>78</v>
      </c>
      <c r="B839" s="9"/>
      <c r="C839" s="112"/>
      <c r="D839" s="9"/>
      <c r="E839" s="9"/>
      <c r="F839" s="112"/>
      <c r="G839" s="9"/>
      <c r="H839" s="131">
        <v>0</v>
      </c>
      <c r="I839" s="120">
        <v>0</v>
      </c>
      <c r="J839" s="117" t="e">
        <f>(I839-H839)/H839</f>
        <v>#DIV/0!</v>
      </c>
      <c r="K839" s="9"/>
    </row>
    <row r="840" spans="1:11" s="104" customFormat="1" ht="12" customHeight="1">
      <c r="A840" s="113" t="s">
        <v>128</v>
      </c>
      <c r="B840" s="9"/>
      <c r="C840" s="112"/>
      <c r="D840" s="9"/>
      <c r="E840" s="9"/>
      <c r="F840" s="112"/>
      <c r="G840" s="9"/>
      <c r="H840" s="131">
        <v>0</v>
      </c>
      <c r="I840" s="120">
        <v>0</v>
      </c>
      <c r="J840" s="117">
        <v>0</v>
      </c>
      <c r="K840" s="9"/>
    </row>
    <row r="841" spans="1:11" s="104" customFormat="1" ht="12" customHeight="1">
      <c r="A841" s="113" t="s">
        <v>157</v>
      </c>
      <c r="B841" s="9"/>
      <c r="C841" s="112"/>
      <c r="D841" s="9"/>
      <c r="E841" s="9"/>
      <c r="F841" s="112"/>
      <c r="G841" s="9"/>
      <c r="H841" s="109">
        <v>-4174210</v>
      </c>
      <c r="I841" s="118">
        <v>-4311810</v>
      </c>
      <c r="J841" s="117">
        <f>(I841-H841)/H841</f>
        <v>0.03296432139255093</v>
      </c>
      <c r="K841" s="9"/>
    </row>
    <row r="842" spans="1:11" s="104" customFormat="1" ht="12" customHeight="1">
      <c r="A842" s="113" t="s">
        <v>53</v>
      </c>
      <c r="B842" s="9"/>
      <c r="C842" s="112"/>
      <c r="D842" s="9"/>
      <c r="E842" s="9"/>
      <c r="F842" s="112"/>
      <c r="G842" s="9"/>
      <c r="H842" s="109">
        <v>0</v>
      </c>
      <c r="I842" s="118">
        <v>0</v>
      </c>
      <c r="J842" s="117">
        <v>0</v>
      </c>
      <c r="K842" s="9"/>
    </row>
    <row r="843" spans="1:11" s="104" customFormat="1" ht="12" customHeight="1">
      <c r="A843" s="113" t="s">
        <v>54</v>
      </c>
      <c r="B843" s="9"/>
      <c r="C843" s="112"/>
      <c r="D843" s="9"/>
      <c r="E843" s="9"/>
      <c r="F843" s="112"/>
      <c r="G843" s="9"/>
      <c r="H843" s="109">
        <v>0</v>
      </c>
      <c r="I843" s="118">
        <v>0</v>
      </c>
      <c r="J843" s="117">
        <v>0</v>
      </c>
      <c r="K843" s="9"/>
    </row>
    <row r="844" spans="1:11" s="104" customFormat="1" ht="12" customHeight="1">
      <c r="A844" s="113" t="s">
        <v>55</v>
      </c>
      <c r="B844" s="9"/>
      <c r="C844" s="112"/>
      <c r="D844" s="9"/>
      <c r="E844" s="9"/>
      <c r="F844" s="112"/>
      <c r="G844" s="9"/>
      <c r="H844" s="109">
        <v>0</v>
      </c>
      <c r="I844" s="118">
        <v>0</v>
      </c>
      <c r="J844" s="117">
        <v>0</v>
      </c>
      <c r="K844" s="9"/>
    </row>
    <row r="845" spans="1:11" s="104" customFormat="1" ht="12" customHeight="1">
      <c r="A845" s="113" t="s">
        <v>56</v>
      </c>
      <c r="B845" s="9"/>
      <c r="C845" s="112"/>
      <c r="D845" s="9"/>
      <c r="E845" s="9"/>
      <c r="F845" s="112"/>
      <c r="G845" s="9"/>
      <c r="H845" s="109">
        <v>-1772770</v>
      </c>
      <c r="I845" s="118">
        <v>-2082900</v>
      </c>
      <c r="J845" s="117">
        <f>(I845-H845)/H845</f>
        <v>0.17494091168059026</v>
      </c>
      <c r="K845" s="9"/>
    </row>
    <row r="846" spans="1:11" s="104" customFormat="1" ht="12" customHeight="1">
      <c r="A846" s="113" t="s">
        <v>57</v>
      </c>
      <c r="B846" s="9"/>
      <c r="C846" s="112"/>
      <c r="D846" s="9"/>
      <c r="E846" s="9"/>
      <c r="F846" s="112"/>
      <c r="G846" s="9"/>
      <c r="H846" s="131">
        <v>-13208016</v>
      </c>
      <c r="I846" s="120">
        <v>-13286252</v>
      </c>
      <c r="J846" s="117">
        <f>(I846-H846)/H846</f>
        <v>0.00592337259433968</v>
      </c>
      <c r="K846" s="9"/>
    </row>
    <row r="847" spans="1:11" s="104" customFormat="1" ht="12" customHeight="1">
      <c r="A847" s="113" t="s">
        <v>58</v>
      </c>
      <c r="B847" s="9"/>
      <c r="C847" s="112"/>
      <c r="D847" s="9"/>
      <c r="E847" s="9"/>
      <c r="F847" s="112"/>
      <c r="G847" s="9"/>
      <c r="H847" s="131">
        <v>-1382985</v>
      </c>
      <c r="I847" s="120">
        <v>-1414717</v>
      </c>
      <c r="J847" s="117">
        <f>(I847-H847)/H847</f>
        <v>0.0229445727900158</v>
      </c>
      <c r="K847" s="9"/>
    </row>
    <row r="848" spans="1:11" s="104" customFormat="1" ht="12" customHeight="1">
      <c r="A848" s="113" t="s">
        <v>59</v>
      </c>
      <c r="B848" s="9"/>
      <c r="C848" s="112"/>
      <c r="D848" s="9"/>
      <c r="E848" s="9"/>
      <c r="F848" s="112"/>
      <c r="G848" s="9"/>
      <c r="H848" s="131">
        <v>0</v>
      </c>
      <c r="I848" s="120">
        <v>0</v>
      </c>
      <c r="J848" s="313">
        <v>0</v>
      </c>
      <c r="K848" s="9"/>
    </row>
    <row r="849" spans="1:11" s="104" customFormat="1" ht="12" customHeight="1">
      <c r="A849" s="294" t="s">
        <v>60</v>
      </c>
      <c r="B849" s="301"/>
      <c r="C849" s="392"/>
      <c r="D849" s="301"/>
      <c r="E849" s="301"/>
      <c r="F849" s="392"/>
      <c r="G849" s="301"/>
      <c r="H849" s="283">
        <f>SUM(H837:H848)</f>
        <v>159818659</v>
      </c>
      <c r="I849" s="302">
        <f>SUM(I837:I848)</f>
        <v>200457515</v>
      </c>
      <c r="J849" s="317">
        <f>(I849-H849)/H849</f>
        <v>0.254281047371321</v>
      </c>
      <c r="K849" s="9"/>
    </row>
    <row r="850" spans="1:11" s="104" customFormat="1" ht="12" customHeight="1">
      <c r="A850" s="121" t="s">
        <v>185</v>
      </c>
      <c r="B850" s="9"/>
      <c r="C850" s="112"/>
      <c r="D850" s="9"/>
      <c r="E850" s="281">
        <v>0.085</v>
      </c>
      <c r="F850" s="143">
        <v>0.06775</v>
      </c>
      <c r="G850" s="123">
        <f>(F850-E850)/E850</f>
        <v>-0.20294117647058824</v>
      </c>
      <c r="H850" s="124"/>
      <c r="I850" s="125"/>
      <c r="J850" s="117"/>
      <c r="K850" s="146"/>
    </row>
    <row r="851" spans="1:11" s="104" customFormat="1" ht="12" customHeight="1">
      <c r="A851" s="146"/>
      <c r="C851" s="108"/>
      <c r="F851" s="108">
        <v>0.067</v>
      </c>
      <c r="H851" s="124"/>
      <c r="I851" s="125"/>
      <c r="J851" s="146"/>
      <c r="K851" s="146"/>
    </row>
    <row r="852" spans="1:11" s="104" customFormat="1" ht="12" customHeight="1">
      <c r="A852" s="146"/>
      <c r="B852" s="9"/>
      <c r="C852" s="112"/>
      <c r="D852" s="9"/>
      <c r="E852" s="9"/>
      <c r="F852" s="112"/>
      <c r="G852" s="123"/>
      <c r="H852" s="146"/>
      <c r="I852" s="108"/>
      <c r="J852" s="146"/>
      <c r="K852" s="9"/>
    </row>
    <row r="853" spans="1:11" s="104" customFormat="1" ht="12" customHeight="1">
      <c r="A853" s="121" t="s">
        <v>62</v>
      </c>
      <c r="B853" s="9"/>
      <c r="C853" s="112"/>
      <c r="D853" s="9"/>
      <c r="E853" s="9"/>
      <c r="F853" s="112"/>
      <c r="G853" s="9"/>
      <c r="H853" s="268">
        <f>(H849*E850)/100</f>
        <v>135845.86015</v>
      </c>
      <c r="I853" s="131">
        <f>(I849*F850)/100</f>
        <v>135809.9664125</v>
      </c>
      <c r="J853" s="123">
        <f>(I853-H853)/H853</f>
        <v>-0.0002642240069763399</v>
      </c>
      <c r="K853" s="9"/>
    </row>
    <row r="854" spans="1:11" s="104" customFormat="1" ht="12" customHeight="1">
      <c r="A854" s="121" t="s">
        <v>18</v>
      </c>
      <c r="B854" s="9"/>
      <c r="C854" s="112"/>
      <c r="D854" s="9"/>
      <c r="E854" s="9"/>
      <c r="F854" s="112"/>
      <c r="G854" s="9"/>
      <c r="H854" s="112">
        <v>2470728</v>
      </c>
      <c r="I854" s="112">
        <v>3058160</v>
      </c>
      <c r="J854" s="117">
        <f>(I854-H854)/H854</f>
        <v>0.23775664500503496</v>
      </c>
      <c r="K854" s="9"/>
    </row>
    <row r="855" spans="1:11" s="104" customFormat="1" ht="12" customHeight="1">
      <c r="A855" s="121" t="s">
        <v>17</v>
      </c>
      <c r="B855" s="9"/>
      <c r="C855" s="112"/>
      <c r="D855" s="9"/>
      <c r="E855" s="9"/>
      <c r="F855" s="112"/>
      <c r="G855" s="9"/>
      <c r="H855" s="112">
        <v>18825</v>
      </c>
      <c r="I855" s="112">
        <v>19117</v>
      </c>
      <c r="J855" s="117">
        <f>(I855-H855)/H855</f>
        <v>0.01551128818061089</v>
      </c>
      <c r="K855" s="9"/>
    </row>
    <row r="856" spans="1:11" s="104" customFormat="1" ht="12" customHeight="1">
      <c r="A856" s="121"/>
      <c r="B856" s="9"/>
      <c r="C856" s="112"/>
      <c r="D856" s="9"/>
      <c r="E856" s="9"/>
      <c r="F856" s="112"/>
      <c r="G856" s="9"/>
      <c r="H856" s="112"/>
      <c r="I856" s="112"/>
      <c r="J856" s="117"/>
      <c r="K856" s="9"/>
    </row>
    <row r="857" spans="1:11" s="104" customFormat="1" ht="12" customHeight="1">
      <c r="A857" s="338"/>
      <c r="B857" s="339"/>
      <c r="C857" s="342"/>
      <c r="D857" s="339"/>
      <c r="E857" s="340"/>
      <c r="F857" s="342"/>
      <c r="G857" s="341"/>
      <c r="H857" s="342"/>
      <c r="I857" s="342"/>
      <c r="J857" s="339"/>
      <c r="K857" s="339"/>
    </row>
    <row r="858" spans="1:11" s="104" customFormat="1" ht="12" customHeight="1">
      <c r="A858" s="338"/>
      <c r="B858" s="339"/>
      <c r="C858" s="342"/>
      <c r="D858" s="339"/>
      <c r="E858" s="339"/>
      <c r="F858" s="342"/>
      <c r="G858" s="339"/>
      <c r="H858" s="343"/>
      <c r="I858" s="343"/>
      <c r="J858" s="344"/>
      <c r="K858" s="339"/>
    </row>
    <row r="859" spans="1:11" s="104" customFormat="1" ht="12" customHeight="1">
      <c r="A859" s="338"/>
      <c r="B859" s="339"/>
      <c r="C859" s="342"/>
      <c r="D859" s="339"/>
      <c r="E859" s="339"/>
      <c r="F859" s="342"/>
      <c r="G859" s="339"/>
      <c r="H859" s="345"/>
      <c r="I859" s="342"/>
      <c r="J859" s="344"/>
      <c r="K859" s="339"/>
    </row>
    <row r="860" spans="1:11" s="104" customFormat="1" ht="12" customHeight="1">
      <c r="A860" s="339"/>
      <c r="B860" s="339"/>
      <c r="C860" s="342"/>
      <c r="D860" s="339"/>
      <c r="E860" s="339"/>
      <c r="F860" s="342"/>
      <c r="G860" s="339"/>
      <c r="H860" s="345"/>
      <c r="I860" s="342"/>
      <c r="J860" s="344"/>
      <c r="K860" s="339"/>
    </row>
    <row r="861" spans="1:11" s="104" customFormat="1" ht="12" customHeight="1">
      <c r="A861" s="326"/>
      <c r="B861" s="326"/>
      <c r="C861" s="335"/>
      <c r="D861" s="326"/>
      <c r="E861" s="326"/>
      <c r="F861" s="335"/>
      <c r="G861" s="326"/>
      <c r="H861" s="326"/>
      <c r="I861" s="335"/>
      <c r="J861" s="326"/>
      <c r="K861" s="326"/>
    </row>
    <row r="862" spans="3:9" s="104" customFormat="1" ht="12" customHeight="1">
      <c r="C862" s="108"/>
      <c r="F862" s="108"/>
      <c r="I862" s="108"/>
    </row>
    <row r="863" spans="3:9" s="104" customFormat="1" ht="12" customHeight="1">
      <c r="C863" s="108"/>
      <c r="F863" s="108"/>
      <c r="I863" s="108"/>
    </row>
    <row r="864" spans="3:9" s="104" customFormat="1" ht="12" customHeight="1">
      <c r="C864" s="108"/>
      <c r="F864" s="108"/>
      <c r="I864" s="108"/>
    </row>
    <row r="865" spans="3:9" s="104" customFormat="1" ht="12" customHeight="1">
      <c r="C865" s="108"/>
      <c r="F865" s="108"/>
      <c r="I865" s="108"/>
    </row>
    <row r="866" spans="3:9" s="104" customFormat="1" ht="12" customHeight="1">
      <c r="C866" s="108"/>
      <c r="F866" s="108"/>
      <c r="I866" s="108"/>
    </row>
    <row r="867" spans="3:9" s="104" customFormat="1" ht="12" customHeight="1">
      <c r="C867" s="108"/>
      <c r="F867" s="108"/>
      <c r="I867" s="108"/>
    </row>
    <row r="868" spans="3:9" s="104" customFormat="1" ht="12" customHeight="1">
      <c r="C868" s="108"/>
      <c r="F868" s="108"/>
      <c r="I868" s="108"/>
    </row>
    <row r="869" spans="3:9" s="104" customFormat="1" ht="12" customHeight="1">
      <c r="C869" s="108"/>
      <c r="F869" s="108"/>
      <c r="I869" s="108"/>
    </row>
    <row r="870" spans="3:9" s="104" customFormat="1" ht="12" customHeight="1">
      <c r="C870" s="108"/>
      <c r="F870" s="108"/>
      <c r="I870" s="108"/>
    </row>
    <row r="871" spans="3:9" s="104" customFormat="1" ht="12" customHeight="1">
      <c r="C871" s="108"/>
      <c r="F871" s="108"/>
      <c r="I871" s="108"/>
    </row>
    <row r="872" spans="3:9" s="104" customFormat="1" ht="12" customHeight="1">
      <c r="C872" s="108"/>
      <c r="F872" s="108"/>
      <c r="I872" s="108"/>
    </row>
    <row r="873" spans="3:9" s="104" customFormat="1" ht="12" customHeight="1">
      <c r="C873" s="108"/>
      <c r="F873" s="108"/>
      <c r="I873" s="108"/>
    </row>
    <row r="874" spans="3:9" s="104" customFormat="1" ht="12" customHeight="1">
      <c r="C874" s="108"/>
      <c r="F874" s="108"/>
      <c r="I874" s="108"/>
    </row>
    <row r="875" spans="3:9" s="104" customFormat="1" ht="12" customHeight="1">
      <c r="C875" s="108"/>
      <c r="F875" s="108"/>
      <c r="I875" s="108"/>
    </row>
    <row r="876" spans="3:9" s="104" customFormat="1" ht="12" customHeight="1">
      <c r="C876" s="108"/>
      <c r="F876" s="108"/>
      <c r="I876" s="108"/>
    </row>
    <row r="877" spans="3:9" s="104" customFormat="1" ht="12" customHeight="1">
      <c r="C877" s="108"/>
      <c r="F877" s="108"/>
      <c r="I877" s="108"/>
    </row>
    <row r="878" spans="3:9" s="104" customFormat="1" ht="12" customHeight="1">
      <c r="C878" s="108"/>
      <c r="F878" s="108"/>
      <c r="I878" s="108"/>
    </row>
    <row r="879" spans="3:9" s="104" customFormat="1" ht="12" customHeight="1">
      <c r="C879" s="108"/>
      <c r="F879" s="108"/>
      <c r="I879" s="108"/>
    </row>
    <row r="880" spans="3:9" s="104" customFormat="1" ht="12" customHeight="1">
      <c r="C880" s="108"/>
      <c r="F880" s="108"/>
      <c r="I880" s="108"/>
    </row>
    <row r="881" spans="3:9" s="104" customFormat="1" ht="12" customHeight="1">
      <c r="C881" s="108"/>
      <c r="F881" s="108"/>
      <c r="I881" s="108"/>
    </row>
    <row r="882" spans="3:9" s="104" customFormat="1" ht="12" customHeight="1">
      <c r="C882" s="108"/>
      <c r="F882" s="108"/>
      <c r="I882" s="108"/>
    </row>
    <row r="883" spans="3:9" s="104" customFormat="1" ht="12" customHeight="1">
      <c r="C883" s="108"/>
      <c r="F883" s="108"/>
      <c r="I883" s="108"/>
    </row>
    <row r="884" spans="3:9" s="104" customFormat="1" ht="12" customHeight="1">
      <c r="C884" s="108"/>
      <c r="F884" s="108"/>
      <c r="I884" s="108"/>
    </row>
    <row r="885" spans="3:9" s="104" customFormat="1" ht="12" customHeight="1">
      <c r="C885" s="108"/>
      <c r="F885" s="108"/>
      <c r="I885" s="108"/>
    </row>
    <row r="886" spans="3:9" s="104" customFormat="1" ht="12" customHeight="1">
      <c r="C886" s="108"/>
      <c r="F886" s="108"/>
      <c r="I886" s="108"/>
    </row>
    <row r="887" spans="3:9" s="104" customFormat="1" ht="12" customHeight="1">
      <c r="C887" s="108"/>
      <c r="F887" s="108"/>
      <c r="I887" s="108"/>
    </row>
    <row r="888" spans="3:9" s="104" customFormat="1" ht="12" customHeight="1">
      <c r="C888" s="108"/>
      <c r="F888" s="108"/>
      <c r="I888" s="108"/>
    </row>
    <row r="889" spans="3:9" s="104" customFormat="1" ht="12" customHeight="1">
      <c r="C889" s="108"/>
      <c r="F889" s="108"/>
      <c r="I889" s="108"/>
    </row>
    <row r="890" spans="3:9" s="104" customFormat="1" ht="12" customHeight="1">
      <c r="C890" s="108"/>
      <c r="F890" s="108"/>
      <c r="I890" s="108"/>
    </row>
    <row r="891" spans="3:9" s="104" customFormat="1" ht="12" customHeight="1">
      <c r="C891" s="108"/>
      <c r="F891" s="108"/>
      <c r="I891" s="108"/>
    </row>
    <row r="892" spans="3:9" s="104" customFormat="1" ht="12" customHeight="1">
      <c r="C892" s="108"/>
      <c r="F892" s="108"/>
      <c r="I892" s="108"/>
    </row>
    <row r="893" spans="3:9" s="104" customFormat="1" ht="12" customHeight="1">
      <c r="C893" s="108"/>
      <c r="F893" s="108"/>
      <c r="I893" s="108"/>
    </row>
    <row r="894" spans="3:9" s="104" customFormat="1" ht="12" customHeight="1">
      <c r="C894" s="108"/>
      <c r="F894" s="108"/>
      <c r="I894" s="108"/>
    </row>
    <row r="895" spans="3:9" s="104" customFormat="1" ht="12" customHeight="1">
      <c r="C895" s="108"/>
      <c r="F895" s="108"/>
      <c r="I895" s="108"/>
    </row>
    <row r="896" spans="3:9" s="104" customFormat="1" ht="12" customHeight="1">
      <c r="C896" s="108"/>
      <c r="F896" s="108"/>
      <c r="I896" s="108"/>
    </row>
    <row r="897" spans="3:9" s="104" customFormat="1" ht="12" customHeight="1">
      <c r="C897" s="108"/>
      <c r="F897" s="108"/>
      <c r="I897" s="108"/>
    </row>
    <row r="898" spans="3:9" s="104" customFormat="1" ht="12" customHeight="1">
      <c r="C898" s="108"/>
      <c r="F898" s="108"/>
      <c r="I898" s="108"/>
    </row>
    <row r="899" spans="3:9" s="104" customFormat="1" ht="12" customHeight="1">
      <c r="C899" s="108"/>
      <c r="F899" s="108"/>
      <c r="I899" s="108"/>
    </row>
    <row r="900" spans="3:9" s="104" customFormat="1" ht="12" customHeight="1">
      <c r="C900" s="108"/>
      <c r="F900" s="108"/>
      <c r="I900" s="108"/>
    </row>
    <row r="901" spans="3:9" s="104" customFormat="1" ht="12" customHeight="1">
      <c r="C901" s="108"/>
      <c r="F901" s="108"/>
      <c r="I901" s="108"/>
    </row>
    <row r="902" spans="3:9" s="104" customFormat="1" ht="12" customHeight="1">
      <c r="C902" s="108"/>
      <c r="F902" s="108"/>
      <c r="I902" s="108"/>
    </row>
    <row r="903" spans="3:9" s="104" customFormat="1" ht="12" customHeight="1">
      <c r="C903" s="108"/>
      <c r="F903" s="108"/>
      <c r="I903" s="108"/>
    </row>
    <row r="904" spans="3:9" s="104" customFormat="1" ht="12" customHeight="1">
      <c r="C904" s="108"/>
      <c r="F904" s="108"/>
      <c r="I904" s="108"/>
    </row>
    <row r="905" spans="3:9" s="104" customFormat="1" ht="12" customHeight="1">
      <c r="C905" s="108"/>
      <c r="F905" s="108"/>
      <c r="I905" s="108"/>
    </row>
    <row r="906" spans="3:9" s="104" customFormat="1" ht="12" customHeight="1">
      <c r="C906" s="108"/>
      <c r="F906" s="108"/>
      <c r="I906" s="108"/>
    </row>
    <row r="907" spans="3:9" s="104" customFormat="1" ht="12" customHeight="1">
      <c r="C907" s="108"/>
      <c r="F907" s="108"/>
      <c r="I907" s="108"/>
    </row>
    <row r="908" spans="3:9" s="104" customFormat="1" ht="12" customHeight="1">
      <c r="C908" s="108"/>
      <c r="F908" s="108"/>
      <c r="I908" s="108"/>
    </row>
    <row r="909" spans="3:9" s="104" customFormat="1" ht="12" customHeight="1">
      <c r="C909" s="108"/>
      <c r="F909" s="108"/>
      <c r="I909" s="108"/>
    </row>
    <row r="910" spans="3:9" s="104" customFormat="1" ht="12" customHeight="1">
      <c r="C910" s="108"/>
      <c r="F910" s="108"/>
      <c r="I910" s="108"/>
    </row>
    <row r="911" spans="3:9" s="104" customFormat="1" ht="12" customHeight="1">
      <c r="C911" s="108"/>
      <c r="F911" s="108"/>
      <c r="I911" s="108"/>
    </row>
    <row r="912" spans="3:9" s="104" customFormat="1" ht="12" customHeight="1">
      <c r="C912" s="108"/>
      <c r="F912" s="108"/>
      <c r="I912" s="108"/>
    </row>
    <row r="913" spans="3:9" s="104" customFormat="1" ht="12" customHeight="1">
      <c r="C913" s="108"/>
      <c r="F913" s="108"/>
      <c r="I913" s="108"/>
    </row>
    <row r="914" spans="3:9" s="104" customFormat="1" ht="12" customHeight="1">
      <c r="C914" s="108"/>
      <c r="F914" s="108"/>
      <c r="I914" s="108"/>
    </row>
    <row r="915" spans="3:9" s="104" customFormat="1" ht="12" customHeight="1">
      <c r="C915" s="108"/>
      <c r="F915" s="108"/>
      <c r="I915" s="108"/>
    </row>
  </sheetData>
  <sheetProtection/>
  <printOptions horizontalCentered="1"/>
  <pageMargins left="0.21" right="0.21" top="1.2" bottom="1.6" header="0.5" footer="0.5"/>
  <pageSetup horizontalDpi="600" verticalDpi="600" orientation="landscape" scale="90" r:id="rId1"/>
  <headerFooter alignWithMargins="0">
    <oddHeader>&amp;C&amp;"Arial,Regular"&amp;A</oddHeader>
  </headerFooter>
  <rowBreaks count="2" manualBreakCount="2">
    <brk id="38" max="255" man="1"/>
    <brk id="6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A890"/>
  <sheetViews>
    <sheetView zoomScale="130" zoomScaleNormal="130" workbookViewId="0" topLeftCell="A88">
      <selection activeCell="R730" sqref="R730"/>
    </sheetView>
  </sheetViews>
  <sheetFormatPr defaultColWidth="9.140625" defaultRowHeight="12.75"/>
  <cols>
    <col min="1" max="1" width="16.7109375" style="9" customWidth="1"/>
    <col min="2" max="2" width="12.57421875" style="9" customWidth="1"/>
    <col min="3" max="3" width="11.57421875" style="9" customWidth="1"/>
    <col min="4" max="4" width="7.140625" style="9" customWidth="1"/>
    <col min="5" max="5" width="15.00390625" style="9" customWidth="1"/>
    <col min="6" max="6" width="14.140625" style="9" customWidth="1"/>
    <col min="7" max="7" width="8.8515625" style="9" customWidth="1"/>
    <col min="8" max="8" width="13.00390625" style="9" customWidth="1"/>
    <col min="9" max="9" width="15.140625" style="9" customWidth="1"/>
    <col min="10" max="10" width="8.7109375" style="9" customWidth="1"/>
    <col min="11" max="16384" width="9.140625" style="9" customWidth="1"/>
  </cols>
  <sheetData>
    <row r="1" spans="1:11" ht="10.5" thickBot="1">
      <c r="A1" s="267" t="s">
        <v>0</v>
      </c>
      <c r="B1" s="95" t="s">
        <v>32</v>
      </c>
      <c r="C1" s="96"/>
      <c r="D1" s="97"/>
      <c r="E1" s="95" t="s">
        <v>33</v>
      </c>
      <c r="F1" s="98"/>
      <c r="G1" s="97"/>
      <c r="H1" s="95" t="s">
        <v>34</v>
      </c>
      <c r="I1" s="235"/>
      <c r="J1" s="97"/>
      <c r="K1" s="99"/>
    </row>
    <row r="2" spans="1:11" ht="9.75">
      <c r="A2" s="9" t="s">
        <v>35</v>
      </c>
      <c r="B2" s="101" t="s">
        <v>193</v>
      </c>
      <c r="C2" s="102" t="s">
        <v>188</v>
      </c>
      <c r="D2" s="100" t="s">
        <v>67</v>
      </c>
      <c r="E2" s="101" t="str">
        <f>B2</f>
        <v>2013 Certified</v>
      </c>
      <c r="F2" s="102" t="s">
        <v>188</v>
      </c>
      <c r="G2" s="100" t="s">
        <v>67</v>
      </c>
      <c r="H2" s="101" t="s">
        <v>187</v>
      </c>
      <c r="I2" s="102" t="s">
        <v>189</v>
      </c>
      <c r="J2" s="100" t="s">
        <v>67</v>
      </c>
      <c r="K2" s="207" t="s">
        <v>71</v>
      </c>
    </row>
    <row r="3" spans="1:11" ht="9.75">
      <c r="A3" s="258" t="s">
        <v>115</v>
      </c>
      <c r="B3" s="103"/>
      <c r="C3" s="104"/>
      <c r="D3" s="105"/>
      <c r="E3" s="107"/>
      <c r="F3" s="104"/>
      <c r="G3" s="105"/>
      <c r="H3" s="103"/>
      <c r="I3" s="104"/>
      <c r="J3" s="105"/>
      <c r="K3" s="106"/>
    </row>
    <row r="4" spans="1:11" ht="9.75">
      <c r="A4" s="9" t="s">
        <v>36</v>
      </c>
      <c r="B4" s="107">
        <v>0</v>
      </c>
      <c r="C4" s="108">
        <v>0</v>
      </c>
      <c r="D4" s="105"/>
      <c r="E4" s="107">
        <f>'2019 Certified Estimate'!E5</f>
        <v>23415890</v>
      </c>
      <c r="F4" s="112">
        <v>17915240</v>
      </c>
      <c r="G4" s="110">
        <f>(F4-E4)/E4</f>
        <v>-0.23491099420094644</v>
      </c>
      <c r="H4" s="107">
        <f>SUM(B4+E4)</f>
        <v>23415890</v>
      </c>
      <c r="I4" s="108">
        <f>SUM(C4+F4)</f>
        <v>17915240</v>
      </c>
      <c r="J4" s="110">
        <f>(I4-H4)/H4</f>
        <v>-0.23491099420094644</v>
      </c>
      <c r="K4" s="111">
        <f>I4/I15</f>
        <v>0.04876359340107721</v>
      </c>
    </row>
    <row r="5" spans="1:11" ht="9.75">
      <c r="A5" s="9" t="s">
        <v>37</v>
      </c>
      <c r="B5" s="107">
        <v>0</v>
      </c>
      <c r="C5" s="108">
        <v>0</v>
      </c>
      <c r="D5" s="105"/>
      <c r="E5" s="107">
        <f>'2019 Certified Estimate'!E6</f>
        <v>0</v>
      </c>
      <c r="F5" s="112">
        <v>0</v>
      </c>
      <c r="G5" s="110">
        <v>0</v>
      </c>
      <c r="H5" s="107">
        <f aca="true" t="shared" si="0" ref="H5:I14">SUM(B5+E5)</f>
        <v>0</v>
      </c>
      <c r="I5" s="108">
        <f t="shared" si="0"/>
        <v>0</v>
      </c>
      <c r="J5" s="110">
        <v>0</v>
      </c>
      <c r="K5" s="111">
        <f>I5/I15</f>
        <v>0</v>
      </c>
    </row>
    <row r="6" spans="1:11" ht="9.75">
      <c r="A6" s="9" t="s">
        <v>38</v>
      </c>
      <c r="B6" s="107">
        <v>0</v>
      </c>
      <c r="C6" s="108">
        <v>0</v>
      </c>
      <c r="D6" s="105"/>
      <c r="E6" s="107">
        <f>'2019 Certified Estimate'!E7</f>
        <v>917880</v>
      </c>
      <c r="F6" s="112">
        <v>3071850</v>
      </c>
      <c r="G6" s="110">
        <f aca="true" t="shared" si="1" ref="G6:G15">(F6-E6)/E6</f>
        <v>2.346679304484246</v>
      </c>
      <c r="H6" s="107">
        <f t="shared" si="0"/>
        <v>917880</v>
      </c>
      <c r="I6" s="108">
        <f t="shared" si="0"/>
        <v>3071850</v>
      </c>
      <c r="J6" s="110">
        <f aca="true" t="shared" si="2" ref="J6:J12">(I6-H6)/H6</f>
        <v>2.346679304484246</v>
      </c>
      <c r="K6" s="111">
        <f>I6/I15</f>
        <v>0.00836128594364904</v>
      </c>
    </row>
    <row r="7" spans="1:11" ht="9.75">
      <c r="A7" s="9" t="s">
        <v>39</v>
      </c>
      <c r="B7" s="107">
        <v>0</v>
      </c>
      <c r="C7" s="108">
        <v>0</v>
      </c>
      <c r="D7" s="105"/>
      <c r="E7" s="107">
        <f>'2019 Certified Estimate'!E8</f>
        <v>178078290</v>
      </c>
      <c r="F7" s="112">
        <v>163008510</v>
      </c>
      <c r="G7" s="110">
        <f t="shared" si="1"/>
        <v>-0.08462446489125654</v>
      </c>
      <c r="H7" s="107">
        <f t="shared" si="0"/>
        <v>178078290</v>
      </c>
      <c r="I7" s="108">
        <f t="shared" si="0"/>
        <v>163008510</v>
      </c>
      <c r="J7" s="110">
        <f t="shared" si="2"/>
        <v>-0.08462446489125654</v>
      </c>
      <c r="K7" s="111">
        <f>I7/I15</f>
        <v>0.4436937882247421</v>
      </c>
    </row>
    <row r="8" spans="1:11" ht="9.75">
      <c r="A8" s="9" t="s">
        <v>40</v>
      </c>
      <c r="B8" s="107">
        <v>0</v>
      </c>
      <c r="C8" s="108">
        <v>0</v>
      </c>
      <c r="D8" s="105"/>
      <c r="E8" s="107">
        <f>'2019 Certified Estimate'!E9</f>
        <v>2061600</v>
      </c>
      <c r="F8" s="112">
        <v>1789690</v>
      </c>
      <c r="G8" s="110">
        <f t="shared" si="1"/>
        <v>-0.13189270469538222</v>
      </c>
      <c r="H8" s="107">
        <f t="shared" si="0"/>
        <v>2061600</v>
      </c>
      <c r="I8" s="108">
        <f t="shared" si="0"/>
        <v>1789690</v>
      </c>
      <c r="J8" s="110">
        <f t="shared" si="2"/>
        <v>-0.13189270469538222</v>
      </c>
      <c r="K8" s="111">
        <f>I8/I15</f>
        <v>0.004871367365102219</v>
      </c>
    </row>
    <row r="9" spans="1:11" ht="9.75">
      <c r="A9" s="9" t="s">
        <v>41</v>
      </c>
      <c r="B9" s="107">
        <v>168021610</v>
      </c>
      <c r="C9" s="114">
        <v>136621790</v>
      </c>
      <c r="D9" s="110">
        <f>(C9-B9)/B9</f>
        <v>-0.18687965196857714</v>
      </c>
      <c r="E9" s="107">
        <f>'2019 Certified Estimate'!E10</f>
        <v>0</v>
      </c>
      <c r="F9" s="112">
        <v>0</v>
      </c>
      <c r="G9" s="110" t="e">
        <f t="shared" si="1"/>
        <v>#DIV/0!</v>
      </c>
      <c r="H9" s="107">
        <f>SUM(B9+E9)</f>
        <v>168021610</v>
      </c>
      <c r="I9" s="108">
        <f t="shared" si="0"/>
        <v>136621790</v>
      </c>
      <c r="J9" s="110">
        <f>(I9-H9)/H9</f>
        <v>-0.18687965196857714</v>
      </c>
      <c r="K9" s="111">
        <f>I9/I15</f>
        <v>0.371871625347322</v>
      </c>
    </row>
    <row r="10" spans="1:11" ht="9.75">
      <c r="A10" s="9" t="s">
        <v>42</v>
      </c>
      <c r="B10" s="107">
        <v>23585080</v>
      </c>
      <c r="C10" s="114">
        <v>23585080</v>
      </c>
      <c r="D10" s="110">
        <f>(C10-B10)/B10</f>
        <v>0</v>
      </c>
      <c r="E10" s="107">
        <f>'2019 Certified Estimate'!E11</f>
        <v>28480</v>
      </c>
      <c r="F10" s="112">
        <v>21590</v>
      </c>
      <c r="G10" s="110">
        <f t="shared" si="1"/>
        <v>-0.24192415730337077</v>
      </c>
      <c r="H10" s="107">
        <f>SUM(B10+E10)</f>
        <v>23613560</v>
      </c>
      <c r="I10" s="108">
        <f t="shared" si="0"/>
        <v>23606670</v>
      </c>
      <c r="J10" s="110">
        <f>(I10-H10)/H10</f>
        <v>-0.0002917815018150588</v>
      </c>
      <c r="K10" s="111">
        <f>I10/I15</f>
        <v>0.06425512900934664</v>
      </c>
    </row>
    <row r="11" spans="1:11" ht="9.75">
      <c r="A11" s="9" t="s">
        <v>43</v>
      </c>
      <c r="B11" s="107">
        <v>16028480</v>
      </c>
      <c r="C11" s="114">
        <v>13427020</v>
      </c>
      <c r="D11" s="110">
        <f>(C11-B11)/B11</f>
        <v>-0.16230235181377148</v>
      </c>
      <c r="E11" s="107">
        <f>'2019 Certified Estimate'!E12</f>
        <v>3569090</v>
      </c>
      <c r="F11" s="112">
        <v>1263230</v>
      </c>
      <c r="G11" s="110">
        <f t="shared" si="1"/>
        <v>-0.6460638426041372</v>
      </c>
      <c r="H11" s="107">
        <f>SUM(B11+E11)</f>
        <v>19597570</v>
      </c>
      <c r="I11" s="108">
        <f t="shared" si="0"/>
        <v>14690250</v>
      </c>
      <c r="J11" s="110">
        <f>(I11-H11)/H11</f>
        <v>-0.2504045144372491</v>
      </c>
      <c r="K11" s="111">
        <f>I11/I15</f>
        <v>0.03998547482256305</v>
      </c>
    </row>
    <row r="12" spans="1:11" ht="9.75">
      <c r="A12" s="9" t="s">
        <v>44</v>
      </c>
      <c r="B12" s="107">
        <v>0</v>
      </c>
      <c r="C12" s="108">
        <v>0</v>
      </c>
      <c r="D12" s="110"/>
      <c r="E12" s="107">
        <f>'2019 Certified Estimate'!E13</f>
        <v>3355230</v>
      </c>
      <c r="F12" s="112">
        <v>2935270</v>
      </c>
      <c r="G12" s="110">
        <f t="shared" si="1"/>
        <v>-0.12516578595208078</v>
      </c>
      <c r="H12" s="107">
        <f t="shared" si="0"/>
        <v>3355230</v>
      </c>
      <c r="I12" s="108">
        <f t="shared" si="0"/>
        <v>2935270</v>
      </c>
      <c r="J12" s="110">
        <f t="shared" si="2"/>
        <v>-0.12516578595208078</v>
      </c>
      <c r="K12" s="111">
        <f>I12/I15</f>
        <v>0.007989528066739821</v>
      </c>
    </row>
    <row r="13" spans="1:11" ht="9.75">
      <c r="A13" s="9" t="s">
        <v>45</v>
      </c>
      <c r="B13" s="107">
        <v>0</v>
      </c>
      <c r="C13" s="108">
        <v>0</v>
      </c>
      <c r="D13" s="110"/>
      <c r="E13" s="107">
        <f>'2019 Certified Estimate'!E14</f>
        <v>84120</v>
      </c>
      <c r="F13" s="112">
        <v>146190</v>
      </c>
      <c r="G13" s="110">
        <f t="shared" si="1"/>
        <v>0.7378744650499287</v>
      </c>
      <c r="H13" s="107">
        <f t="shared" si="0"/>
        <v>84120</v>
      </c>
      <c r="I13" s="108">
        <f t="shared" si="0"/>
        <v>146190</v>
      </c>
      <c r="J13" s="110">
        <v>0</v>
      </c>
      <c r="K13" s="111">
        <f>I13/I15</f>
        <v>0.0003979153904331439</v>
      </c>
    </row>
    <row r="14" spans="1:11" ht="10.5" thickBot="1">
      <c r="A14" s="9" t="s">
        <v>46</v>
      </c>
      <c r="B14" s="107">
        <v>0</v>
      </c>
      <c r="C14" s="108">
        <v>0</v>
      </c>
      <c r="D14" s="110"/>
      <c r="E14" s="107">
        <f>'2019 Certified Estimate'!E15</f>
        <v>4297630</v>
      </c>
      <c r="F14" s="112">
        <v>3604200</v>
      </c>
      <c r="G14" s="110">
        <f t="shared" si="1"/>
        <v>-0.16135172176292514</v>
      </c>
      <c r="H14" s="107">
        <f t="shared" si="0"/>
        <v>4297630</v>
      </c>
      <c r="I14" s="108">
        <f t="shared" si="0"/>
        <v>3604200</v>
      </c>
      <c r="J14" s="110">
        <f>(I14-H14)/H14</f>
        <v>-0.16135172176292514</v>
      </c>
      <c r="K14" s="111">
        <f>I14/I15</f>
        <v>0.009810292429024812</v>
      </c>
    </row>
    <row r="15" spans="1:11" ht="10.5" thickBot="1">
      <c r="A15" s="250" t="s">
        <v>47</v>
      </c>
      <c r="B15" s="259">
        <f>SUM(B4:B14)</f>
        <v>207635170</v>
      </c>
      <c r="C15" s="260">
        <f>SUM(C4:C14)</f>
        <v>173633890</v>
      </c>
      <c r="D15" s="256">
        <f>(C15-B15)/B15</f>
        <v>-0.1637549168572935</v>
      </c>
      <c r="E15" s="260">
        <f>SUM(E4:E14)</f>
        <v>215808210</v>
      </c>
      <c r="F15" s="260">
        <f>SUM(F4:F14)</f>
        <v>193755770</v>
      </c>
      <c r="G15" s="256">
        <f t="shared" si="1"/>
        <v>-0.10218536171538609</v>
      </c>
      <c r="H15" s="259">
        <f>B15+E15</f>
        <v>423443380</v>
      </c>
      <c r="I15" s="260">
        <f>SUM(C15+F15)</f>
        <v>367389660</v>
      </c>
      <c r="J15" s="256">
        <f>(I15-H15)/H15</f>
        <v>-0.13237595071152133</v>
      </c>
      <c r="K15" s="261">
        <f>SUM(K4:K14)</f>
        <v>0.9999999999999999</v>
      </c>
    </row>
    <row r="16" spans="1:10" ht="9.75">
      <c r="A16" s="113" t="s">
        <v>73</v>
      </c>
      <c r="B16" s="114"/>
      <c r="C16" s="114"/>
      <c r="D16" s="115"/>
      <c r="E16" s="114"/>
      <c r="H16" s="116" t="e">
        <f>'2019 Certified Estimate'!#REF!</f>
        <v>#REF!</v>
      </c>
      <c r="I16" s="116">
        <v>0</v>
      </c>
      <c r="J16" s="117">
        <v>0</v>
      </c>
    </row>
    <row r="17" spans="1:10" ht="9.75">
      <c r="A17" s="113" t="s">
        <v>174</v>
      </c>
      <c r="B17" s="114"/>
      <c r="C17" s="114"/>
      <c r="D17" s="115"/>
      <c r="E17" s="114"/>
      <c r="H17" s="116" t="e">
        <f>'2019 Certified Estimate'!#REF!</f>
        <v>#REF!</v>
      </c>
      <c r="I17" s="116">
        <v>-594840</v>
      </c>
      <c r="J17" s="117" t="e">
        <f>(I17-H17)/H17</f>
        <v>#REF!</v>
      </c>
    </row>
    <row r="18" spans="1:10" ht="10.5" thickBot="1">
      <c r="A18" s="113" t="s">
        <v>49</v>
      </c>
      <c r="B18" s="114"/>
      <c r="C18" s="114"/>
      <c r="D18" s="115"/>
      <c r="E18" s="114"/>
      <c r="H18" s="116" t="e">
        <f>'2019 Certified Estimate'!#REF!</f>
        <v>#REF!</v>
      </c>
      <c r="I18" s="116">
        <v>-45025880</v>
      </c>
      <c r="J18" s="117" t="e">
        <f>(I18-H18)/H18</f>
        <v>#REF!</v>
      </c>
    </row>
    <row r="19" spans="1:10" ht="10.5" thickBot="1">
      <c r="A19" s="250" t="s">
        <v>50</v>
      </c>
      <c r="B19" s="251"/>
      <c r="C19" s="251"/>
      <c r="D19" s="252"/>
      <c r="E19" s="251"/>
      <c r="F19" s="253"/>
      <c r="G19" s="253"/>
      <c r="H19" s="254" t="e">
        <f>SUM(H15:H18)</f>
        <v>#REF!</v>
      </c>
      <c r="I19" s="255">
        <f>SUM(I15:I18)</f>
        <v>321768940</v>
      </c>
      <c r="J19" s="256" t="e">
        <f>(I19-H19)/H19</f>
        <v>#REF!</v>
      </c>
    </row>
    <row r="20" spans="1:10" ht="9.75">
      <c r="A20" s="113" t="s">
        <v>127</v>
      </c>
      <c r="B20" s="114"/>
      <c r="C20" s="114"/>
      <c r="D20" s="115"/>
      <c r="E20" s="114"/>
      <c r="H20" s="116" t="e">
        <f>'2019 Certified Estimate'!#REF!</f>
        <v>#REF!</v>
      </c>
      <c r="I20" s="116">
        <v>-310060</v>
      </c>
      <c r="J20" s="117" t="e">
        <f>(I20-H20)/H20</f>
        <v>#REF!</v>
      </c>
    </row>
    <row r="21" spans="1:10" ht="9.75">
      <c r="A21" s="113" t="s">
        <v>78</v>
      </c>
      <c r="B21" s="114"/>
      <c r="C21" s="114"/>
      <c r="D21" s="115"/>
      <c r="E21" s="114"/>
      <c r="H21" s="116" t="e">
        <f>'2019 Certified Estimate'!#REF!</f>
        <v>#REF!</v>
      </c>
      <c r="I21" s="116">
        <v>-851400</v>
      </c>
      <c r="J21" s="117">
        <v>1</v>
      </c>
    </row>
    <row r="22" spans="1:10" ht="9.75">
      <c r="A22" s="113" t="s">
        <v>128</v>
      </c>
      <c r="B22" s="114"/>
      <c r="C22" s="114"/>
      <c r="D22" s="115"/>
      <c r="E22" s="114"/>
      <c r="H22" s="116" t="e">
        <f>'2019 Certified Estimate'!#REF!</f>
        <v>#REF!</v>
      </c>
      <c r="I22" s="116">
        <v>0</v>
      </c>
      <c r="J22" s="117">
        <v>0</v>
      </c>
    </row>
    <row r="23" spans="1:10" ht="9.75">
      <c r="A23" s="113" t="s">
        <v>157</v>
      </c>
      <c r="B23" s="114"/>
      <c r="C23" s="114"/>
      <c r="D23" s="115"/>
      <c r="E23" s="114"/>
      <c r="H23" s="116" t="e">
        <f>'2019 Certified Estimate'!#REF!</f>
        <v>#REF!</v>
      </c>
      <c r="I23" s="116">
        <v>-3720750</v>
      </c>
      <c r="J23" s="117" t="e">
        <f aca="true" t="shared" si="3" ref="J23:J29">(I23-H23)/H23</f>
        <v>#REF!</v>
      </c>
    </row>
    <row r="24" spans="1:10" ht="9.75">
      <c r="A24" s="113" t="s">
        <v>53</v>
      </c>
      <c r="B24" s="114"/>
      <c r="C24" s="114"/>
      <c r="D24" s="115"/>
      <c r="E24" s="114"/>
      <c r="H24" s="116" t="e">
        <f>'2019 Certified Estimate'!#REF!</f>
        <v>#REF!</v>
      </c>
      <c r="I24" s="116">
        <v>-10082140</v>
      </c>
      <c r="J24" s="117" t="e">
        <f t="shared" si="3"/>
        <v>#REF!</v>
      </c>
    </row>
    <row r="25" spans="1:10" ht="9.75">
      <c r="A25" s="113" t="s">
        <v>54</v>
      </c>
      <c r="B25" s="114"/>
      <c r="C25" s="114"/>
      <c r="D25" s="115"/>
      <c r="E25" s="114"/>
      <c r="H25" s="116" t="e">
        <f>'2019 Certified Estimate'!#REF!</f>
        <v>#REF!</v>
      </c>
      <c r="I25" s="116">
        <v>-1835224</v>
      </c>
      <c r="J25" s="117" t="e">
        <f t="shared" si="3"/>
        <v>#REF!</v>
      </c>
    </row>
    <row r="26" spans="1:10" ht="9.75">
      <c r="A26" s="113" t="s">
        <v>55</v>
      </c>
      <c r="B26" s="114"/>
      <c r="C26" s="114"/>
      <c r="D26" s="115"/>
      <c r="E26" s="114"/>
      <c r="H26" s="116" t="e">
        <f>'2019 Certified Estimate'!#REF!</f>
        <v>#REF!</v>
      </c>
      <c r="I26" s="116">
        <v>-247964</v>
      </c>
      <c r="J26" s="117" t="e">
        <f t="shared" si="3"/>
        <v>#REF!</v>
      </c>
    </row>
    <row r="27" spans="1:10" ht="9.75">
      <c r="A27" s="113" t="s">
        <v>56</v>
      </c>
      <c r="B27" s="114"/>
      <c r="C27" s="114"/>
      <c r="D27" s="115"/>
      <c r="E27" s="114"/>
      <c r="H27" s="116" t="e">
        <f>'2019 Certified Estimate'!#REF!</f>
        <v>#REF!</v>
      </c>
      <c r="I27" s="116">
        <v>-1100827</v>
      </c>
      <c r="J27" s="117" t="e">
        <f t="shared" si="3"/>
        <v>#REF!</v>
      </c>
    </row>
    <row r="28" spans="1:10" ht="9.75">
      <c r="A28" s="113" t="s">
        <v>57</v>
      </c>
      <c r="B28" s="114"/>
      <c r="C28" s="114"/>
      <c r="D28" s="115"/>
      <c r="E28" s="114"/>
      <c r="H28" s="116" t="e">
        <f>'2019 Certified Estimate'!#REF!</f>
        <v>#REF!</v>
      </c>
      <c r="I28" s="116">
        <v>-16011138</v>
      </c>
      <c r="J28" s="117" t="e">
        <f t="shared" si="3"/>
        <v>#REF!</v>
      </c>
    </row>
    <row r="29" spans="1:10" ht="9.75">
      <c r="A29" s="113" t="s">
        <v>58</v>
      </c>
      <c r="B29" s="114"/>
      <c r="C29" s="114"/>
      <c r="D29" s="115"/>
      <c r="E29" s="114"/>
      <c r="H29" s="116" t="e">
        <f>'2019 Certified Estimate'!#REF!</f>
        <v>#REF!</v>
      </c>
      <c r="I29" s="116">
        <v>-526900</v>
      </c>
      <c r="J29" s="117" t="e">
        <f t="shared" si="3"/>
        <v>#REF!</v>
      </c>
    </row>
    <row r="30" spans="1:10" ht="10.5" thickBot="1">
      <c r="A30" s="113" t="s">
        <v>59</v>
      </c>
      <c r="B30" s="114"/>
      <c r="C30" s="114"/>
      <c r="D30" s="115"/>
      <c r="E30" s="114"/>
      <c r="H30" s="116" t="e">
        <f>'2019 Certified Estimate'!#REF!</f>
        <v>#REF!</v>
      </c>
      <c r="I30" s="116">
        <v>0</v>
      </c>
      <c r="J30" s="117">
        <v>0</v>
      </c>
    </row>
    <row r="31" spans="1:10" ht="10.5" thickBot="1">
      <c r="A31" s="250" t="s">
        <v>60</v>
      </c>
      <c r="B31" s="253"/>
      <c r="C31" s="253"/>
      <c r="D31" s="253"/>
      <c r="E31" s="253"/>
      <c r="F31" s="253"/>
      <c r="G31" s="253"/>
      <c r="H31" s="254" t="e">
        <f>SUM(H19:H30)</f>
        <v>#REF!</v>
      </c>
      <c r="I31" s="257">
        <f>SUM(I19:I30)</f>
        <v>287082537</v>
      </c>
      <c r="J31" s="256" t="e">
        <f>(I31-H31)/H31</f>
        <v>#REF!</v>
      </c>
    </row>
    <row r="32" spans="1:10" ht="9.75">
      <c r="A32" s="121" t="s">
        <v>61</v>
      </c>
      <c r="B32" s="104"/>
      <c r="C32" s="104"/>
      <c r="D32" s="104"/>
      <c r="E32" s="108" t="e">
        <f>'2019 Certified Estimate'!#REF!</f>
        <v>#REF!</v>
      </c>
      <c r="F32" s="112">
        <v>10157872</v>
      </c>
      <c r="G32" s="123"/>
      <c r="H32" s="124"/>
      <c r="I32" s="125"/>
      <c r="J32" s="126"/>
    </row>
    <row r="33" spans="1:10" ht="9.75">
      <c r="A33" s="121" t="s">
        <v>19</v>
      </c>
      <c r="B33" s="104"/>
      <c r="C33" s="104"/>
      <c r="D33" s="104"/>
      <c r="E33" s="127" t="e">
        <f>'2019 Certified Estimate'!#REF!</f>
        <v>#REF!</v>
      </c>
      <c r="F33" s="236">
        <v>92857.07</v>
      </c>
      <c r="G33" s="123"/>
      <c r="H33" s="124"/>
      <c r="I33" s="125"/>
      <c r="J33" s="126"/>
    </row>
    <row r="34" spans="1:11" ht="9.75">
      <c r="A34" s="121" t="s">
        <v>196</v>
      </c>
      <c r="B34" s="104"/>
      <c r="C34" s="104"/>
      <c r="D34" s="104"/>
      <c r="E34" s="216">
        <v>1.237</v>
      </c>
      <c r="F34" s="9">
        <v>1.37652</v>
      </c>
      <c r="G34" s="123"/>
      <c r="H34" s="125"/>
      <c r="I34" s="125"/>
      <c r="J34" s="126"/>
      <c r="K34" s="130"/>
    </row>
    <row r="35" spans="1:10" ht="9.75">
      <c r="A35" s="121" t="s">
        <v>62</v>
      </c>
      <c r="B35" s="104"/>
      <c r="C35" s="104"/>
      <c r="D35" s="104"/>
      <c r="E35" s="104"/>
      <c r="F35" s="104"/>
      <c r="G35" s="104"/>
      <c r="H35" s="116" t="e">
        <f>(H31-E32)*E34/100+E33</f>
        <v>#REF!</v>
      </c>
      <c r="I35" s="125">
        <f>(I31-F32)*F34/100+F33</f>
        <v>3904780.4686579993</v>
      </c>
      <c r="J35" s="123" t="e">
        <f>(I35-H35)/H35</f>
        <v>#REF!</v>
      </c>
    </row>
    <row r="36" spans="1:10" ht="9.75">
      <c r="A36" s="121" t="s">
        <v>18</v>
      </c>
      <c r="B36" s="104"/>
      <c r="C36" s="104"/>
      <c r="D36" s="104"/>
      <c r="E36" s="104"/>
      <c r="F36" s="104"/>
      <c r="G36" s="104"/>
      <c r="H36" s="116" t="e">
        <f>'2019 Certified Estimate'!#REF!</f>
        <v>#REF!</v>
      </c>
      <c r="I36" s="131">
        <v>6921684</v>
      </c>
      <c r="J36" s="123" t="e">
        <f>(I36-H36)/H36</f>
        <v>#REF!</v>
      </c>
    </row>
    <row r="37" spans="1:10" ht="9.75">
      <c r="A37" s="121" t="s">
        <v>17</v>
      </c>
      <c r="B37" s="104"/>
      <c r="C37" s="104"/>
      <c r="D37" s="104"/>
      <c r="E37" s="104"/>
      <c r="F37" s="104"/>
      <c r="G37" s="104"/>
      <c r="H37" s="116" t="e">
        <f>'2019 Certified Estimate'!#REF!</f>
        <v>#REF!</v>
      </c>
      <c r="I37" s="131">
        <v>21033</v>
      </c>
      <c r="J37" s="123" t="e">
        <f>(I37-H37)/H37</f>
        <v>#REF!</v>
      </c>
    </row>
    <row r="38" spans="1:10" s="136" customFormat="1" ht="10.5" thickBot="1">
      <c r="A38" s="132"/>
      <c r="B38" s="133"/>
      <c r="C38" s="133"/>
      <c r="D38" s="133"/>
      <c r="E38" s="133"/>
      <c r="F38" s="133"/>
      <c r="G38" s="133"/>
      <c r="H38" s="134"/>
      <c r="I38" s="134"/>
      <c r="J38" s="135"/>
    </row>
    <row r="39" spans="1:11" ht="10.5" thickBot="1">
      <c r="A39" s="267" t="s">
        <v>1</v>
      </c>
      <c r="B39" s="95" t="s">
        <v>32</v>
      </c>
      <c r="C39" s="98"/>
      <c r="D39" s="97"/>
      <c r="E39" s="95" t="s">
        <v>33</v>
      </c>
      <c r="F39" s="96"/>
      <c r="G39" s="97"/>
      <c r="H39" s="95" t="s">
        <v>34</v>
      </c>
      <c r="I39" s="96"/>
      <c r="J39" s="97"/>
      <c r="K39" s="99"/>
    </row>
    <row r="40" spans="1:11" ht="9.75">
      <c r="A40" s="9" t="s">
        <v>35</v>
      </c>
      <c r="B40" s="101" t="s">
        <v>193</v>
      </c>
      <c r="C40" s="102" t="s">
        <v>188</v>
      </c>
      <c r="D40" s="100" t="s">
        <v>67</v>
      </c>
      <c r="E40" s="101" t="str">
        <f>B40</f>
        <v>2013 Certified</v>
      </c>
      <c r="F40" s="102" t="s">
        <v>188</v>
      </c>
      <c r="G40" s="100" t="s">
        <v>67</v>
      </c>
      <c r="H40" s="101" t="s">
        <v>187</v>
      </c>
      <c r="I40" s="102" t="s">
        <v>189</v>
      </c>
      <c r="J40" s="100" t="s">
        <v>67</v>
      </c>
      <c r="K40" s="207" t="s">
        <v>71</v>
      </c>
    </row>
    <row r="41" spans="2:11" ht="9.75">
      <c r="B41" s="103"/>
      <c r="C41" s="104"/>
      <c r="D41" s="105"/>
      <c r="E41" s="103"/>
      <c r="F41" s="104"/>
      <c r="G41" s="105"/>
      <c r="H41" s="103"/>
      <c r="I41" s="104"/>
      <c r="J41" s="105"/>
      <c r="K41" s="106"/>
    </row>
    <row r="42" spans="1:11" ht="9.75">
      <c r="A42" s="9" t="s">
        <v>36</v>
      </c>
      <c r="B42" s="107">
        <v>0</v>
      </c>
      <c r="C42" s="108">
        <v>0</v>
      </c>
      <c r="D42" s="105"/>
      <c r="E42" s="107">
        <f>'2019 Certified Estimate'!E43</f>
        <v>771532480</v>
      </c>
      <c r="F42" s="109">
        <v>624847620</v>
      </c>
      <c r="G42" s="110">
        <f>(F42-E42)/E42</f>
        <v>-0.19012143208799195</v>
      </c>
      <c r="H42" s="107">
        <f aca="true" t="shared" si="4" ref="H42:I52">B42+E42</f>
        <v>771532480</v>
      </c>
      <c r="I42" s="109">
        <f t="shared" si="4"/>
        <v>624847620</v>
      </c>
      <c r="J42" s="110">
        <f aca="true" t="shared" si="5" ref="J42:J66">(I42-H42)/H42</f>
        <v>-0.19012143208799195</v>
      </c>
      <c r="K42" s="111">
        <f>I42/I53</f>
        <v>0.22050076912309247</v>
      </c>
    </row>
    <row r="43" spans="1:11" ht="9.75">
      <c r="A43" s="9" t="s">
        <v>37</v>
      </c>
      <c r="B43" s="107">
        <v>0</v>
      </c>
      <c r="C43" s="108">
        <v>0</v>
      </c>
      <c r="D43" s="105"/>
      <c r="E43" s="107">
        <f>'2019 Certified Estimate'!E44</f>
        <v>34725560</v>
      </c>
      <c r="F43" s="109">
        <v>18583460</v>
      </c>
      <c r="G43" s="110">
        <f>(F43-E43)/E43</f>
        <v>-0.46484779511115154</v>
      </c>
      <c r="H43" s="107">
        <f t="shared" si="4"/>
        <v>34725560</v>
      </c>
      <c r="I43" s="109">
        <f t="shared" si="4"/>
        <v>18583460</v>
      </c>
      <c r="J43" s="110">
        <f t="shared" si="5"/>
        <v>-0.46484779511115154</v>
      </c>
      <c r="K43" s="111">
        <f>I43/I53</f>
        <v>0.006557866417044565</v>
      </c>
    </row>
    <row r="44" spans="1:11" ht="9.75">
      <c r="A44" s="9" t="s">
        <v>38</v>
      </c>
      <c r="B44" s="107">
        <v>0</v>
      </c>
      <c r="C44" s="108">
        <v>0</v>
      </c>
      <c r="D44" s="105"/>
      <c r="E44" s="107">
        <f>'2019 Certified Estimate'!E45</f>
        <v>11957070</v>
      </c>
      <c r="F44" s="109">
        <v>18231650</v>
      </c>
      <c r="G44" s="110">
        <f>(F44-E44)/E44</f>
        <v>0.524758991960405</v>
      </c>
      <c r="H44" s="107">
        <f t="shared" si="4"/>
        <v>11957070</v>
      </c>
      <c r="I44" s="109">
        <f t="shared" si="4"/>
        <v>18231650</v>
      </c>
      <c r="J44" s="110">
        <f t="shared" si="5"/>
        <v>0.524758991960405</v>
      </c>
      <c r="K44" s="111">
        <f>I44/I53</f>
        <v>0.006433717147523149</v>
      </c>
    </row>
    <row r="45" spans="1:11" ht="9.75">
      <c r="A45" s="9" t="s">
        <v>39</v>
      </c>
      <c r="B45" s="107">
        <v>0</v>
      </c>
      <c r="C45" s="108">
        <v>0</v>
      </c>
      <c r="D45" s="105"/>
      <c r="E45" s="107">
        <f>'2019 Certified Estimate'!E46</f>
        <v>585053520</v>
      </c>
      <c r="F45" s="109">
        <v>532770070</v>
      </c>
      <c r="G45" s="110">
        <f>(F45-E45)/E45</f>
        <v>-0.08936524302938986</v>
      </c>
      <c r="H45" s="107">
        <f t="shared" si="4"/>
        <v>585053520</v>
      </c>
      <c r="I45" s="109">
        <f t="shared" si="4"/>
        <v>532770070</v>
      </c>
      <c r="J45" s="110">
        <f t="shared" si="5"/>
        <v>-0.08936524302938986</v>
      </c>
      <c r="K45" s="111">
        <f>I45/I53</f>
        <v>0.1880077741206149</v>
      </c>
    </row>
    <row r="46" spans="1:11" ht="9.75">
      <c r="A46" s="9" t="s">
        <v>40</v>
      </c>
      <c r="B46" s="107">
        <v>0</v>
      </c>
      <c r="C46" s="108">
        <v>0</v>
      </c>
      <c r="D46" s="110"/>
      <c r="E46" s="107">
        <f>'2019 Certified Estimate'!E47</f>
        <v>107907630</v>
      </c>
      <c r="F46" s="109">
        <v>764623830</v>
      </c>
      <c r="G46" s="110">
        <f>(F46-E46)/E46</f>
        <v>6.085910699734579</v>
      </c>
      <c r="H46" s="107">
        <f t="shared" si="4"/>
        <v>107907630</v>
      </c>
      <c r="I46" s="109">
        <f t="shared" si="4"/>
        <v>764623830</v>
      </c>
      <c r="J46" s="110">
        <f t="shared" si="5"/>
        <v>6.085910699734579</v>
      </c>
      <c r="K46" s="111">
        <f>I46/I53</f>
        <v>0.26982601390855054</v>
      </c>
    </row>
    <row r="47" spans="1:11" ht="9.75">
      <c r="A47" s="9" t="s">
        <v>41</v>
      </c>
      <c r="B47" s="107">
        <f>'2019 Certified Estimate'!B48</f>
        <v>35188310</v>
      </c>
      <c r="C47" s="108">
        <v>107069900</v>
      </c>
      <c r="D47" s="110">
        <f>(C47-B47)/B47</f>
        <v>2.0427690332385953</v>
      </c>
      <c r="E47" s="107">
        <f>'2019 Certified Estimate'!E48</f>
        <v>0</v>
      </c>
      <c r="F47" s="109">
        <v>0</v>
      </c>
      <c r="G47" s="110">
        <v>0</v>
      </c>
      <c r="H47" s="107">
        <f t="shared" si="4"/>
        <v>35188310</v>
      </c>
      <c r="I47" s="109">
        <f t="shared" si="4"/>
        <v>107069900</v>
      </c>
      <c r="J47" s="110">
        <f t="shared" si="5"/>
        <v>2.0427690332385953</v>
      </c>
      <c r="K47" s="111">
        <f>I47/I53</f>
        <v>0.037783604424919785</v>
      </c>
    </row>
    <row r="48" spans="1:11" ht="9.75">
      <c r="A48" s="9" t="s">
        <v>42</v>
      </c>
      <c r="B48" s="107">
        <f>'2019 Certified Estimate'!B49</f>
        <v>75756920</v>
      </c>
      <c r="C48" s="108">
        <v>60599730</v>
      </c>
      <c r="D48" s="110">
        <f>(C48-B48)/B48</f>
        <v>-0.20007663986339466</v>
      </c>
      <c r="E48" s="107">
        <f>'2019 Certified Estimate'!E49</f>
        <v>506730</v>
      </c>
      <c r="F48" s="109">
        <v>493140</v>
      </c>
      <c r="G48" s="110">
        <f aca="true" t="shared" si="6" ref="G48:G53">(F48-E48)/E48</f>
        <v>-0.026819016044047125</v>
      </c>
      <c r="H48" s="107">
        <f t="shared" si="4"/>
        <v>76263650</v>
      </c>
      <c r="I48" s="109">
        <f t="shared" si="4"/>
        <v>61092870</v>
      </c>
      <c r="J48" s="110">
        <f t="shared" si="5"/>
        <v>-0.19892543826580553</v>
      </c>
      <c r="K48" s="111">
        <f>I48/I53</f>
        <v>0.021558895948002654</v>
      </c>
    </row>
    <row r="49" spans="1:11" ht="9.75">
      <c r="A49" s="9" t="s">
        <v>43</v>
      </c>
      <c r="B49" s="107">
        <f>'2019 Certified Estimate'!B50</f>
        <v>553326730</v>
      </c>
      <c r="C49" s="108">
        <v>543253460</v>
      </c>
      <c r="D49" s="110">
        <f>(C49-B49)/B49</f>
        <v>-0.018204922071991713</v>
      </c>
      <c r="E49" s="107">
        <f>'2019 Certified Estimate'!E50</f>
        <v>110687050</v>
      </c>
      <c r="F49" s="109">
        <v>107639040</v>
      </c>
      <c r="G49" s="110">
        <f t="shared" si="6"/>
        <v>-0.027537187051240412</v>
      </c>
      <c r="H49" s="107">
        <f t="shared" si="4"/>
        <v>664013780</v>
      </c>
      <c r="I49" s="109">
        <f t="shared" si="4"/>
        <v>650892500</v>
      </c>
      <c r="J49" s="110">
        <f t="shared" si="5"/>
        <v>-0.019760553764411336</v>
      </c>
      <c r="K49" s="111">
        <f>I49/I53</f>
        <v>0.2296916756543819</v>
      </c>
    </row>
    <row r="50" spans="1:11" ht="9.75">
      <c r="A50" s="9" t="s">
        <v>44</v>
      </c>
      <c r="B50" s="107">
        <v>0</v>
      </c>
      <c r="C50" s="108">
        <v>0</v>
      </c>
      <c r="D50" s="110"/>
      <c r="E50" s="107">
        <f>'2019 Certified Estimate'!E51</f>
        <v>18062000</v>
      </c>
      <c r="F50" s="109">
        <v>18088200</v>
      </c>
      <c r="G50" s="110">
        <f t="shared" si="6"/>
        <v>0.0014505591850293433</v>
      </c>
      <c r="H50" s="107">
        <f t="shared" si="4"/>
        <v>18062000</v>
      </c>
      <c r="I50" s="109">
        <f t="shared" si="4"/>
        <v>18088200</v>
      </c>
      <c r="J50" s="110">
        <f t="shared" si="5"/>
        <v>0.0014505591850293433</v>
      </c>
      <c r="K50" s="111">
        <f>I50/I53</f>
        <v>0.006383095469023826</v>
      </c>
    </row>
    <row r="51" spans="1:11" ht="9.75">
      <c r="A51" s="9" t="s">
        <v>45</v>
      </c>
      <c r="B51" s="107">
        <v>0</v>
      </c>
      <c r="C51" s="108">
        <v>0</v>
      </c>
      <c r="D51" s="110"/>
      <c r="E51" s="107">
        <f>'2019 Certified Estimate'!E52</f>
        <v>10917840</v>
      </c>
      <c r="F51" s="109">
        <v>6652530</v>
      </c>
      <c r="G51" s="110">
        <f t="shared" si="6"/>
        <v>-0.39067342990921283</v>
      </c>
      <c r="H51" s="107">
        <f t="shared" si="4"/>
        <v>10917840</v>
      </c>
      <c r="I51" s="109">
        <f t="shared" si="4"/>
        <v>6652530</v>
      </c>
      <c r="J51" s="110">
        <f t="shared" si="5"/>
        <v>-0.39067342990921283</v>
      </c>
      <c r="K51" s="111">
        <f>I51/I53</f>
        <v>0.0023475931325695797</v>
      </c>
    </row>
    <row r="52" spans="1:11" ht="10.5" thickBot="1">
      <c r="A52" s="9" t="s">
        <v>46</v>
      </c>
      <c r="B52" s="107">
        <v>0</v>
      </c>
      <c r="C52" s="108">
        <v>0</v>
      </c>
      <c r="D52" s="110"/>
      <c r="E52" s="107">
        <f>'2019 Certified Estimate'!E53</f>
        <v>67824920</v>
      </c>
      <c r="F52" s="109">
        <v>30913540</v>
      </c>
      <c r="G52" s="110">
        <f t="shared" si="6"/>
        <v>-0.5442156068890314</v>
      </c>
      <c r="H52" s="107">
        <f t="shared" si="4"/>
        <v>67824920</v>
      </c>
      <c r="I52" s="109">
        <f t="shared" si="4"/>
        <v>30913540</v>
      </c>
      <c r="J52" s="110">
        <f t="shared" si="5"/>
        <v>-0.5442156068890314</v>
      </c>
      <c r="K52" s="111">
        <f>I52/I53</f>
        <v>0.010908994654276645</v>
      </c>
    </row>
    <row r="53" spans="1:11" ht="10.5" thickBot="1">
      <c r="A53" s="250" t="s">
        <v>47</v>
      </c>
      <c r="B53" s="259">
        <f>SUM(B42:B52)</f>
        <v>664271960</v>
      </c>
      <c r="C53" s="260">
        <f>SUM(C42:C52)</f>
        <v>710923090</v>
      </c>
      <c r="D53" s="256">
        <f>(C53-B53)/B53</f>
        <v>0.0702289616439628</v>
      </c>
      <c r="E53" s="259">
        <f>SUM(E42:E52)</f>
        <v>1719174800</v>
      </c>
      <c r="F53" s="260">
        <f>SUM(F42:F52)</f>
        <v>2122843080</v>
      </c>
      <c r="G53" s="256">
        <f t="shared" si="6"/>
        <v>0.23480351154519016</v>
      </c>
      <c r="H53" s="259">
        <f>SUM(H42:H52)</f>
        <v>2383446760</v>
      </c>
      <c r="I53" s="262">
        <f>SUM(I42:I52)</f>
        <v>2833766170</v>
      </c>
      <c r="J53" s="256">
        <f t="shared" si="5"/>
        <v>0.18893621521464152</v>
      </c>
      <c r="K53" s="261">
        <f>SUM(K42:K52)</f>
        <v>1</v>
      </c>
    </row>
    <row r="54" spans="1:10" ht="9.75">
      <c r="A54" s="113" t="str">
        <f>A16</f>
        <v>Less Minimum Value Loss</v>
      </c>
      <c r="B54" s="114"/>
      <c r="C54" s="114"/>
      <c r="D54" s="115"/>
      <c r="E54" s="114"/>
      <c r="F54" s="114"/>
      <c r="G54" s="104"/>
      <c r="H54" s="108">
        <f>'2019 Certified Estimate'!H55</f>
        <v>0</v>
      </c>
      <c r="I54" s="112">
        <v>0</v>
      </c>
      <c r="J54" s="126">
        <v>0</v>
      </c>
    </row>
    <row r="55" spans="1:10" ht="9.75">
      <c r="A55" s="113" t="s">
        <v>174</v>
      </c>
      <c r="B55" s="114"/>
      <c r="C55" s="114"/>
      <c r="D55" s="115"/>
      <c r="E55" s="114"/>
      <c r="F55" s="114"/>
      <c r="G55" s="104"/>
      <c r="H55" s="108">
        <f>'2019 Certified Estimate'!H56</f>
        <v>-3207029</v>
      </c>
      <c r="I55" s="112">
        <v>-2258800</v>
      </c>
      <c r="J55" s="126">
        <f t="shared" si="5"/>
        <v>-0.29567210025228957</v>
      </c>
    </row>
    <row r="56" spans="1:10" ht="10.5" thickBot="1">
      <c r="A56" s="113" t="s">
        <v>49</v>
      </c>
      <c r="B56" s="114"/>
      <c r="C56" s="114"/>
      <c r="D56" s="115"/>
      <c r="E56" s="114"/>
      <c r="G56" s="104"/>
      <c r="H56" s="108">
        <f>'2019 Certified Estimate'!H57</f>
        <v>-134547140</v>
      </c>
      <c r="I56" s="112">
        <v>-129291000</v>
      </c>
      <c r="J56" s="126">
        <f t="shared" si="5"/>
        <v>-0.03906541603188295</v>
      </c>
    </row>
    <row r="57" spans="1:10" ht="10.5" thickBot="1">
      <c r="A57" s="250" t="s">
        <v>50</v>
      </c>
      <c r="B57" s="251"/>
      <c r="C57" s="251"/>
      <c r="D57" s="252"/>
      <c r="E57" s="251"/>
      <c r="F57" s="253"/>
      <c r="G57" s="253"/>
      <c r="H57" s="254">
        <f>SUM(H53:H56)</f>
        <v>2245692591</v>
      </c>
      <c r="I57" s="255">
        <f>SUM(I53:I56)</f>
        <v>2702216370</v>
      </c>
      <c r="J57" s="256">
        <f t="shared" si="5"/>
        <v>0.2032886339072399</v>
      </c>
    </row>
    <row r="58" spans="1:10" ht="9.75">
      <c r="A58" s="113" t="s">
        <v>127</v>
      </c>
      <c r="B58" s="114"/>
      <c r="C58" s="114"/>
      <c r="D58" s="115"/>
      <c r="E58" s="114"/>
      <c r="G58" s="104"/>
      <c r="H58" s="108">
        <f>'2019 Certified Estimate'!H59</f>
        <v>-464630</v>
      </c>
      <c r="I58" s="108">
        <v>-398450</v>
      </c>
      <c r="J58" s="126">
        <f t="shared" si="5"/>
        <v>-0.14243591675096312</v>
      </c>
    </row>
    <row r="59" spans="1:10" ht="9.75">
      <c r="A59" s="113" t="s">
        <v>78</v>
      </c>
      <c r="B59" s="114"/>
      <c r="C59" s="114"/>
      <c r="D59" s="115"/>
      <c r="E59" s="114"/>
      <c r="G59" s="104"/>
      <c r="H59" s="108">
        <f>'2019 Certified Estimate'!H60</f>
        <v>-16594010</v>
      </c>
      <c r="I59" s="108">
        <v>-5686510</v>
      </c>
      <c r="J59" s="126">
        <f t="shared" si="5"/>
        <v>-0.6573155011959134</v>
      </c>
    </row>
    <row r="60" spans="1:10" ht="9.75">
      <c r="A60" s="113" t="s">
        <v>128</v>
      </c>
      <c r="B60" s="114"/>
      <c r="C60" s="114"/>
      <c r="D60" s="115"/>
      <c r="E60" s="114"/>
      <c r="G60" s="104"/>
      <c r="H60" s="108">
        <f>'2019 Certified Estimate'!H61</f>
        <v>0</v>
      </c>
      <c r="I60" s="108">
        <v>0</v>
      </c>
      <c r="J60" s="126">
        <v>0</v>
      </c>
    </row>
    <row r="61" spans="1:10" ht="9.75">
      <c r="A61" s="113" t="s">
        <v>157</v>
      </c>
      <c r="B61" s="114"/>
      <c r="C61" s="114"/>
      <c r="D61" s="115"/>
      <c r="E61" s="114"/>
      <c r="G61" s="104"/>
      <c r="H61" s="108">
        <f>'2019 Certified Estimate'!H62</f>
        <v>-67732100</v>
      </c>
      <c r="I61" s="108">
        <v>-31048739</v>
      </c>
      <c r="J61" s="126">
        <f t="shared" si="5"/>
        <v>-0.5415949158523063</v>
      </c>
    </row>
    <row r="62" spans="1:10" ht="9.75">
      <c r="A62" s="113" t="s">
        <v>53</v>
      </c>
      <c r="B62" s="114"/>
      <c r="C62" s="114"/>
      <c r="D62" s="115"/>
      <c r="E62" s="114"/>
      <c r="G62" s="104"/>
      <c r="H62" s="108">
        <f>'2019 Certified Estimate'!H63</f>
        <v>-128484600</v>
      </c>
      <c r="I62" s="108">
        <v>-74401845</v>
      </c>
      <c r="J62" s="126">
        <f t="shared" si="5"/>
        <v>-0.42092791665304635</v>
      </c>
    </row>
    <row r="63" spans="1:10" ht="9.75">
      <c r="A63" s="113" t="s">
        <v>54</v>
      </c>
      <c r="B63" s="114"/>
      <c r="C63" s="114"/>
      <c r="D63" s="115"/>
      <c r="E63" s="114"/>
      <c r="G63" s="104"/>
      <c r="H63" s="108">
        <f>'2019 Certified Estimate'!H64</f>
        <v>-14109525</v>
      </c>
      <c r="I63" s="108">
        <v>-12459666</v>
      </c>
      <c r="J63" s="126">
        <f t="shared" si="5"/>
        <v>-0.11693228510527463</v>
      </c>
    </row>
    <row r="64" spans="1:10" ht="9.75">
      <c r="A64" s="113" t="s">
        <v>55</v>
      </c>
      <c r="B64" s="114"/>
      <c r="C64" s="114"/>
      <c r="D64" s="115"/>
      <c r="E64" s="114"/>
      <c r="G64" s="104"/>
      <c r="H64" s="108">
        <f>'2019 Certified Estimate'!H65</f>
        <v>-1217267</v>
      </c>
      <c r="I64" s="108">
        <v>-1401338</v>
      </c>
      <c r="J64" s="126">
        <f t="shared" si="5"/>
        <v>0.15121661886833374</v>
      </c>
    </row>
    <row r="65" spans="1:10" ht="9.75">
      <c r="A65" s="113" t="s">
        <v>56</v>
      </c>
      <c r="B65" s="114"/>
      <c r="C65" s="114"/>
      <c r="D65" s="115"/>
      <c r="E65" s="114"/>
      <c r="G65" s="104"/>
      <c r="H65" s="108">
        <f>'2019 Certified Estimate'!H66</f>
        <v>-7891164</v>
      </c>
      <c r="I65" s="108">
        <v>-5547486</v>
      </c>
      <c r="J65" s="126">
        <f t="shared" si="5"/>
        <v>-0.2970002904514467</v>
      </c>
    </row>
    <row r="66" spans="1:10" ht="9.75">
      <c r="A66" s="113" t="s">
        <v>57</v>
      </c>
      <c r="B66" s="114"/>
      <c r="C66" s="114"/>
      <c r="D66" s="115"/>
      <c r="E66" s="114"/>
      <c r="G66" s="104"/>
      <c r="H66" s="108">
        <f>'2019 Certified Estimate'!H67</f>
        <v>-189517655</v>
      </c>
      <c r="I66" s="108">
        <v>-160893665</v>
      </c>
      <c r="J66" s="126">
        <f t="shared" si="5"/>
        <v>-0.15103600770070735</v>
      </c>
    </row>
    <row r="67" spans="1:10" ht="9.75">
      <c r="A67" s="113" t="s">
        <v>58</v>
      </c>
      <c r="B67" s="114"/>
      <c r="C67" s="114"/>
      <c r="D67" s="115"/>
      <c r="E67" s="114"/>
      <c r="G67" s="104"/>
      <c r="H67" s="108">
        <f>'2019 Certified Estimate'!H68</f>
        <v>0</v>
      </c>
      <c r="I67" s="108">
        <v>0</v>
      </c>
      <c r="J67" s="126">
        <v>0</v>
      </c>
    </row>
    <row r="68" spans="1:10" ht="10.5" thickBot="1">
      <c r="A68" s="113" t="s">
        <v>59</v>
      </c>
      <c r="B68" s="114"/>
      <c r="C68" s="114"/>
      <c r="D68" s="115"/>
      <c r="E68" s="114"/>
      <c r="G68" s="104"/>
      <c r="H68" s="108">
        <f>'2019 Certified Estimate'!H69</f>
        <v>0</v>
      </c>
      <c r="I68" s="108">
        <v>0</v>
      </c>
      <c r="J68" s="126">
        <v>0</v>
      </c>
    </row>
    <row r="69" spans="1:10" ht="10.5" thickBot="1">
      <c r="A69" s="250" t="s">
        <v>60</v>
      </c>
      <c r="B69" s="251"/>
      <c r="C69" s="251"/>
      <c r="D69" s="252"/>
      <c r="E69" s="251"/>
      <c r="F69" s="253"/>
      <c r="G69" s="253"/>
      <c r="H69" s="254">
        <f>SUM(H57:H68)</f>
        <v>1819681640</v>
      </c>
      <c r="I69" s="257">
        <f>SUM(I57:I68)</f>
        <v>2410378671</v>
      </c>
      <c r="J69" s="256">
        <f>(I69-H69)/H69</f>
        <v>0.3246155909997531</v>
      </c>
    </row>
    <row r="70" spans="1:9" ht="9.75">
      <c r="A70" s="121" t="s">
        <v>61</v>
      </c>
      <c r="D70" s="104"/>
      <c r="E70" s="108">
        <f>'2019 Certified Estimate'!E71</f>
        <v>130066162</v>
      </c>
      <c r="F70" s="108">
        <v>106332675</v>
      </c>
      <c r="G70" s="123">
        <f>(F70-E70)/E70</f>
        <v>-0.182472417384008</v>
      </c>
      <c r="H70" s="124"/>
      <c r="I70" s="125"/>
    </row>
    <row r="71" spans="1:9" ht="9.75">
      <c r="A71" s="121" t="s">
        <v>19</v>
      </c>
      <c r="D71" s="104"/>
      <c r="E71" s="248">
        <f>'2019 Certified Estimate'!E72</f>
        <v>1457102</v>
      </c>
      <c r="F71" s="127">
        <v>1084632.97</v>
      </c>
      <c r="G71" s="123">
        <f>(F71-E71)/E71</f>
        <v>-0.2556231684535469</v>
      </c>
      <c r="H71" s="124"/>
      <c r="I71" s="125"/>
    </row>
    <row r="72" spans="1:9" ht="9.75">
      <c r="A72" s="121" t="s">
        <v>196</v>
      </c>
      <c r="D72" s="104"/>
      <c r="E72" s="249">
        <v>1.393</v>
      </c>
      <c r="F72" s="139">
        <v>1.329178</v>
      </c>
      <c r="G72" s="123">
        <f>(F72-E72)/E72</f>
        <v>-0.04581622397702803</v>
      </c>
      <c r="H72" s="229"/>
      <c r="I72" s="108"/>
    </row>
    <row r="73" spans="1:10" ht="9.75">
      <c r="A73" s="121" t="s">
        <v>62</v>
      </c>
      <c r="B73" s="104"/>
      <c r="C73" s="104"/>
      <c r="D73" s="104"/>
      <c r="E73" s="104"/>
      <c r="F73" s="104"/>
      <c r="G73" s="104"/>
      <c r="H73" s="125">
        <f>(H69-E70)*E72/100+E71</f>
        <v>24993445.608540002</v>
      </c>
      <c r="I73" s="125">
        <f>(I69-F70)*F72/100+F71</f>
        <v>31709505.458712876</v>
      </c>
      <c r="J73" s="123">
        <f>(I73-H73)/H73</f>
        <v>0.26871284397370426</v>
      </c>
    </row>
    <row r="74" spans="1:10" ht="9.75">
      <c r="A74" s="121" t="s">
        <v>18</v>
      </c>
      <c r="G74" s="104"/>
      <c r="H74" s="108">
        <f>'2019 Certified Estimate'!H75</f>
        <v>26110385</v>
      </c>
      <c r="I74" s="118">
        <v>42626116</v>
      </c>
      <c r="J74" s="123">
        <f>(I74-H74)/H74</f>
        <v>0.6325349473016196</v>
      </c>
    </row>
    <row r="75" spans="1:10" ht="9.75">
      <c r="A75" s="121" t="s">
        <v>17</v>
      </c>
      <c r="G75" s="104"/>
      <c r="H75" s="108">
        <f>'2019 Certified Estimate'!H76</f>
        <v>43919</v>
      </c>
      <c r="I75" s="118">
        <v>38935</v>
      </c>
      <c r="J75" s="123">
        <f>(I75-H75)/H75</f>
        <v>-0.11348163664928619</v>
      </c>
    </row>
    <row r="76" spans="1:10" s="136" customFormat="1" ht="10.5" thickBot="1">
      <c r="A76" s="132"/>
      <c r="H76" s="140"/>
      <c r="I76" s="140"/>
      <c r="J76" s="135"/>
    </row>
    <row r="77" spans="1:11" ht="10.5" thickBot="1">
      <c r="A77" s="267" t="s">
        <v>2</v>
      </c>
      <c r="B77" s="95" t="s">
        <v>32</v>
      </c>
      <c r="C77" s="96"/>
      <c r="D77" s="97"/>
      <c r="E77" s="95" t="s">
        <v>33</v>
      </c>
      <c r="F77" s="96"/>
      <c r="G77" s="97"/>
      <c r="H77" s="95" t="s">
        <v>34</v>
      </c>
      <c r="I77" s="96"/>
      <c r="J77" s="97"/>
      <c r="K77" s="99"/>
    </row>
    <row r="78" spans="1:11" ht="9.75">
      <c r="A78" s="9" t="s">
        <v>35</v>
      </c>
      <c r="B78" s="101" t="s">
        <v>193</v>
      </c>
      <c r="C78" s="102" t="s">
        <v>188</v>
      </c>
      <c r="D78" s="100" t="s">
        <v>67</v>
      </c>
      <c r="E78" s="101" t="str">
        <f>B78</f>
        <v>2013 Certified</v>
      </c>
      <c r="F78" s="102" t="s">
        <v>188</v>
      </c>
      <c r="G78" s="100" t="s">
        <v>67</v>
      </c>
      <c r="H78" s="101" t="s">
        <v>187</v>
      </c>
      <c r="I78" s="102" t="s">
        <v>189</v>
      </c>
      <c r="J78" s="100" t="s">
        <v>67</v>
      </c>
      <c r="K78" s="207" t="s">
        <v>71</v>
      </c>
    </row>
    <row r="79" spans="2:11" ht="9.75">
      <c r="B79" s="103"/>
      <c r="C79" s="104"/>
      <c r="D79" s="105"/>
      <c r="E79" s="103"/>
      <c r="F79" s="104"/>
      <c r="G79" s="105"/>
      <c r="H79" s="103"/>
      <c r="I79" s="104"/>
      <c r="J79" s="105"/>
      <c r="K79" s="106"/>
    </row>
    <row r="80" spans="1:11" ht="9.75">
      <c r="A80" s="9" t="s">
        <v>36</v>
      </c>
      <c r="B80" s="107">
        <v>0</v>
      </c>
      <c r="C80" s="108">
        <v>0</v>
      </c>
      <c r="D80" s="105"/>
      <c r="E80" s="107">
        <f>'2019 Certified Estimate'!E82</f>
        <v>14456610</v>
      </c>
      <c r="F80" s="108">
        <v>12918840</v>
      </c>
      <c r="G80" s="110">
        <f>(F80-E80)/E80</f>
        <v>-0.10637141072492098</v>
      </c>
      <c r="H80" s="107">
        <f aca="true" t="shared" si="7" ref="H80:I90">B80+E80</f>
        <v>14456610</v>
      </c>
      <c r="I80" s="109">
        <f t="shared" si="7"/>
        <v>12918840</v>
      </c>
      <c r="J80" s="110">
        <f>(I80-H80)/H80</f>
        <v>-0.10637141072492098</v>
      </c>
      <c r="K80" s="111">
        <f>I80/I91</f>
        <v>0.045449255571446245</v>
      </c>
    </row>
    <row r="81" spans="1:11" ht="9.75">
      <c r="A81" s="9" t="s">
        <v>37</v>
      </c>
      <c r="B81" s="107">
        <v>0</v>
      </c>
      <c r="C81" s="108">
        <v>0</v>
      </c>
      <c r="D81" s="105"/>
      <c r="E81" s="107">
        <f>'2019 Certified Estimate'!E83</f>
        <v>0</v>
      </c>
      <c r="F81" s="108">
        <v>0</v>
      </c>
      <c r="G81" s="110">
        <v>0</v>
      </c>
      <c r="H81" s="107">
        <f t="shared" si="7"/>
        <v>0</v>
      </c>
      <c r="I81" s="109">
        <f t="shared" si="7"/>
        <v>0</v>
      </c>
      <c r="J81" s="110">
        <v>0</v>
      </c>
      <c r="K81" s="111">
        <f>I81/I91</f>
        <v>0</v>
      </c>
    </row>
    <row r="82" spans="1:11" ht="9.75">
      <c r="A82" s="9" t="s">
        <v>38</v>
      </c>
      <c r="B82" s="107">
        <v>0</v>
      </c>
      <c r="C82" s="108">
        <v>0</v>
      </c>
      <c r="D82" s="105"/>
      <c r="E82" s="107">
        <f>'2019 Certified Estimate'!E84</f>
        <v>2414480</v>
      </c>
      <c r="F82" s="108">
        <v>3716590</v>
      </c>
      <c r="G82" s="110">
        <f>(F82-E82)/E82</f>
        <v>0.5392921043040323</v>
      </c>
      <c r="H82" s="107">
        <f t="shared" si="7"/>
        <v>2414480</v>
      </c>
      <c r="I82" s="109">
        <f t="shared" si="7"/>
        <v>3716590</v>
      </c>
      <c r="J82" s="110">
        <f aca="true" t="shared" si="8" ref="J82:J91">(I82-H82)/H82</f>
        <v>0.5392921043040323</v>
      </c>
      <c r="K82" s="111">
        <f>I82/I91</f>
        <v>0.013075186995448615</v>
      </c>
    </row>
    <row r="83" spans="1:11" ht="9.75">
      <c r="A83" s="9" t="s">
        <v>39</v>
      </c>
      <c r="B83" s="107">
        <v>0</v>
      </c>
      <c r="C83" s="108">
        <v>0</v>
      </c>
      <c r="D83" s="105"/>
      <c r="E83" s="108">
        <v>199927910</v>
      </c>
      <c r="F83" s="108">
        <v>207889960</v>
      </c>
      <c r="G83" s="110">
        <f>(F83-E83)/E83</f>
        <v>0.039824604778792516</v>
      </c>
      <c r="H83" s="107">
        <f t="shared" si="7"/>
        <v>199927910</v>
      </c>
      <c r="I83" s="109">
        <f t="shared" si="7"/>
        <v>207889960</v>
      </c>
      <c r="J83" s="110">
        <f t="shared" si="8"/>
        <v>0.039824604778792516</v>
      </c>
      <c r="K83" s="111">
        <f>I83/I91</f>
        <v>0.7313693739358748</v>
      </c>
    </row>
    <row r="84" spans="1:11" ht="9.75">
      <c r="A84" s="9" t="s">
        <v>40</v>
      </c>
      <c r="B84" s="107">
        <v>0</v>
      </c>
      <c r="C84" s="108">
        <v>0</v>
      </c>
      <c r="D84" s="105"/>
      <c r="E84" s="107">
        <f>'2019 Certified Estimate'!E86</f>
        <v>3231800</v>
      </c>
      <c r="F84" s="108">
        <v>3331710</v>
      </c>
      <c r="G84" s="110">
        <f>(F84-E84)/E84</f>
        <v>0.03091466056067826</v>
      </c>
      <c r="H84" s="107">
        <f t="shared" si="7"/>
        <v>3231800</v>
      </c>
      <c r="I84" s="109">
        <f t="shared" si="7"/>
        <v>3331710</v>
      </c>
      <c r="J84" s="110">
        <f t="shared" si="8"/>
        <v>0.03091466056067826</v>
      </c>
      <c r="K84" s="111">
        <f>I84/I91</f>
        <v>0.01172115602329181</v>
      </c>
    </row>
    <row r="85" spans="1:11" ht="9.75">
      <c r="A85" s="9" t="s">
        <v>41</v>
      </c>
      <c r="B85" s="107">
        <f>'2019 Certified Estimate'!B87</f>
        <v>10083080</v>
      </c>
      <c r="C85" s="109">
        <v>25176450</v>
      </c>
      <c r="D85" s="110">
        <f>(C85-B85)/B85</f>
        <v>1.4969007485807908</v>
      </c>
      <c r="E85" s="107">
        <f>'2019 Certified Estimate'!E87</f>
        <v>0</v>
      </c>
      <c r="F85" s="108">
        <v>0</v>
      </c>
      <c r="G85" s="110">
        <v>0</v>
      </c>
      <c r="H85" s="107">
        <f t="shared" si="7"/>
        <v>10083080</v>
      </c>
      <c r="I85" s="109">
        <f t="shared" si="7"/>
        <v>25176450</v>
      </c>
      <c r="J85" s="110">
        <f t="shared" si="8"/>
        <v>1.4969007485807908</v>
      </c>
      <c r="K85" s="111">
        <f>I85/I91</f>
        <v>0.08857226426147687</v>
      </c>
    </row>
    <row r="86" spans="1:11" ht="9.75">
      <c r="A86" s="9" t="s">
        <v>42</v>
      </c>
      <c r="B86" s="107">
        <f>'2019 Certified Estimate'!B88</f>
        <v>19063630</v>
      </c>
      <c r="C86" s="109">
        <v>14280710</v>
      </c>
      <c r="D86" s="110">
        <f>(C86-B86)/B86</f>
        <v>-0.25089240611572927</v>
      </c>
      <c r="E86" s="107">
        <f>'2019 Certified Estimate'!E88</f>
        <v>53520</v>
      </c>
      <c r="F86" s="108">
        <v>51490</v>
      </c>
      <c r="G86" s="110">
        <f aca="true" t="shared" si="9" ref="G86:G91">(F86-E86)/E86</f>
        <v>-0.03792974588938715</v>
      </c>
      <c r="H86" s="107">
        <f t="shared" si="7"/>
        <v>19117150</v>
      </c>
      <c r="I86" s="109">
        <f t="shared" si="7"/>
        <v>14332200</v>
      </c>
      <c r="J86" s="110">
        <f t="shared" si="8"/>
        <v>-0.2502962000088925</v>
      </c>
      <c r="K86" s="111">
        <f>I86/I91</f>
        <v>0.05042154099757268</v>
      </c>
    </row>
    <row r="87" spans="1:11" ht="9.75">
      <c r="A87" s="9" t="s">
        <v>43</v>
      </c>
      <c r="B87" s="107">
        <f>'2019 Certified Estimate'!B89</f>
        <v>1730270</v>
      </c>
      <c r="C87" s="109">
        <v>971280</v>
      </c>
      <c r="D87" s="110">
        <f>(C87-B87)/B87</f>
        <v>-0.4386540828887977</v>
      </c>
      <c r="E87" s="107">
        <f>'2019 Certified Estimate'!E89</f>
        <v>3075450</v>
      </c>
      <c r="F87" s="108">
        <v>1208360</v>
      </c>
      <c r="G87" s="110">
        <f t="shared" si="9"/>
        <v>-0.6070948966817864</v>
      </c>
      <c r="H87" s="107">
        <f t="shared" si="7"/>
        <v>4805720</v>
      </c>
      <c r="I87" s="109">
        <f t="shared" si="7"/>
        <v>2179640</v>
      </c>
      <c r="J87" s="110">
        <f t="shared" si="8"/>
        <v>-0.546448815161932</v>
      </c>
      <c r="K87" s="111">
        <f>I87/I91</f>
        <v>0.007668104521284193</v>
      </c>
    </row>
    <row r="88" spans="1:11" ht="9.75">
      <c r="A88" s="9" t="s">
        <v>44</v>
      </c>
      <c r="B88" s="107">
        <v>0</v>
      </c>
      <c r="C88" s="108">
        <v>0</v>
      </c>
      <c r="D88" s="110"/>
      <c r="E88" s="107">
        <f>'2019 Certified Estimate'!E90</f>
        <v>4706200</v>
      </c>
      <c r="F88" s="108">
        <v>4910790</v>
      </c>
      <c r="G88" s="110">
        <f t="shared" si="9"/>
        <v>0.04347244061025881</v>
      </c>
      <c r="H88" s="107">
        <f t="shared" si="7"/>
        <v>4706200</v>
      </c>
      <c r="I88" s="109">
        <f t="shared" si="7"/>
        <v>4910790</v>
      </c>
      <c r="J88" s="110">
        <f t="shared" si="8"/>
        <v>0.04347244061025881</v>
      </c>
      <c r="K88" s="111">
        <f>I88/I91</f>
        <v>0.017276454369564334</v>
      </c>
    </row>
    <row r="89" spans="1:11" ht="9.75">
      <c r="A89" s="9" t="s">
        <v>45</v>
      </c>
      <c r="B89" s="107">
        <v>0</v>
      </c>
      <c r="C89" s="108">
        <v>0</v>
      </c>
      <c r="D89" s="110"/>
      <c r="E89" s="107">
        <f>'2019 Certified Estimate'!E91</f>
        <v>55760</v>
      </c>
      <c r="F89" s="108">
        <v>65290</v>
      </c>
      <c r="G89" s="110">
        <v>0</v>
      </c>
      <c r="H89" s="107">
        <f t="shared" si="7"/>
        <v>55760</v>
      </c>
      <c r="I89" s="109">
        <f t="shared" si="7"/>
        <v>65290</v>
      </c>
      <c r="J89" s="110">
        <v>0</v>
      </c>
      <c r="K89" s="111">
        <f>I89/I91</f>
        <v>0.00022969414407638186</v>
      </c>
    </row>
    <row r="90" spans="1:11" ht="10.5" thickBot="1">
      <c r="A90" s="9" t="s">
        <v>46</v>
      </c>
      <c r="B90" s="107">
        <v>0</v>
      </c>
      <c r="C90" s="108">
        <v>0</v>
      </c>
      <c r="D90" s="110"/>
      <c r="E90" s="107">
        <f>'2019 Certified Estimate'!E92</f>
        <v>10270770</v>
      </c>
      <c r="F90" s="108">
        <v>9726090</v>
      </c>
      <c r="G90" s="110">
        <f t="shared" si="9"/>
        <v>-0.053032051150984784</v>
      </c>
      <c r="H90" s="107">
        <f t="shared" si="7"/>
        <v>10270770</v>
      </c>
      <c r="I90" s="109">
        <f t="shared" si="7"/>
        <v>9726090</v>
      </c>
      <c r="J90" s="110">
        <f t="shared" si="8"/>
        <v>-0.053032051150984784</v>
      </c>
      <c r="K90" s="111">
        <f>I90/I91</f>
        <v>0.03421696917996411</v>
      </c>
    </row>
    <row r="91" spans="1:11" ht="10.5" thickBot="1">
      <c r="A91" s="250" t="s">
        <v>47</v>
      </c>
      <c r="B91" s="259">
        <f>SUM(B80:B90)</f>
        <v>30876980</v>
      </c>
      <c r="C91" s="260">
        <f>SUM(C80:C90)</f>
        <v>40428440</v>
      </c>
      <c r="D91" s="256">
        <f>(C91-B91)/B91</f>
        <v>0.30933919055555303</v>
      </c>
      <c r="E91" s="259">
        <f>SUM(E80:E90)</f>
        <v>238192500</v>
      </c>
      <c r="F91" s="260">
        <f>SUM(F80:F90)</f>
        <v>243819120</v>
      </c>
      <c r="G91" s="256">
        <f t="shared" si="9"/>
        <v>0.023622154349948046</v>
      </c>
      <c r="H91" s="263">
        <f>SUM(H80:H90)</f>
        <v>269069480</v>
      </c>
      <c r="I91" s="255">
        <f>SUM(I80:I90)</f>
        <v>284247560</v>
      </c>
      <c r="J91" s="256">
        <f t="shared" si="8"/>
        <v>0.05640951920671196</v>
      </c>
      <c r="K91" s="261">
        <f>SUM(K80:K90)</f>
        <v>1</v>
      </c>
    </row>
    <row r="92" spans="1:10" ht="9.75">
      <c r="A92" s="113" t="str">
        <f>A16</f>
        <v>Less Minimum Value Loss</v>
      </c>
      <c r="B92" s="114"/>
      <c r="C92" s="114"/>
      <c r="D92" s="115"/>
      <c r="E92" s="114"/>
      <c r="G92" s="104"/>
      <c r="H92" s="108">
        <f>'2019 Certified Estimate'!H94</f>
        <v>0</v>
      </c>
      <c r="I92" s="109">
        <v>0</v>
      </c>
      <c r="J92" s="117">
        <v>0</v>
      </c>
    </row>
    <row r="93" spans="1:10" ht="9.75">
      <c r="A93" s="113" t="s">
        <v>174</v>
      </c>
      <c r="B93" s="114"/>
      <c r="C93" s="114"/>
      <c r="D93" s="115"/>
      <c r="E93" s="114"/>
      <c r="G93" s="104"/>
      <c r="H93" s="108">
        <f>'2019 Certified Estimate'!H95</f>
        <v>-862100</v>
      </c>
      <c r="I93" s="109">
        <v>-822250</v>
      </c>
      <c r="J93" s="117">
        <f>(I93-H93)/H93</f>
        <v>-0.04622433592390674</v>
      </c>
    </row>
    <row r="94" spans="1:10" ht="10.5" thickBot="1">
      <c r="A94" s="113" t="s">
        <v>49</v>
      </c>
      <c r="B94" s="114"/>
      <c r="C94" s="114"/>
      <c r="D94" s="115"/>
      <c r="E94" s="114"/>
      <c r="G94" s="104"/>
      <c r="H94" s="108">
        <f>'2019 Certified Estimate'!H96</f>
        <v>-84212730</v>
      </c>
      <c r="I94" s="109">
        <v>-81317790</v>
      </c>
      <c r="J94" s="126">
        <f>(I94-H94)/H94</f>
        <v>-0.034376512909627795</v>
      </c>
    </row>
    <row r="95" spans="1:10" ht="10.5" thickBot="1">
      <c r="A95" s="250" t="s">
        <v>50</v>
      </c>
      <c r="B95" s="251"/>
      <c r="C95" s="251"/>
      <c r="D95" s="252"/>
      <c r="E95" s="251"/>
      <c r="F95" s="253"/>
      <c r="G95" s="253"/>
      <c r="H95" s="254">
        <f>SUM(H91:H94)</f>
        <v>183994650</v>
      </c>
      <c r="I95" s="255">
        <f>SUM(I91:I94)</f>
        <v>202107520</v>
      </c>
      <c r="J95" s="256">
        <f>(I95-H95)/H95</f>
        <v>0.09844237318856826</v>
      </c>
    </row>
    <row r="96" spans="1:10" ht="9.75">
      <c r="A96" s="113" t="s">
        <v>127</v>
      </c>
      <c r="B96" s="114"/>
      <c r="C96" s="114"/>
      <c r="D96" s="115"/>
      <c r="E96" s="114"/>
      <c r="F96" s="144"/>
      <c r="G96" s="104"/>
      <c r="H96" s="108">
        <f>'2019 Certified Estimate'!H98</f>
        <v>-187692</v>
      </c>
      <c r="I96" s="120">
        <v>-137410</v>
      </c>
      <c r="J96" s="117">
        <f>(I96-H96)/H96</f>
        <v>-0.2678963408136735</v>
      </c>
    </row>
    <row r="97" spans="1:10" ht="9.75">
      <c r="A97" s="113" t="s">
        <v>78</v>
      </c>
      <c r="B97" s="114"/>
      <c r="C97" s="114"/>
      <c r="D97" s="115"/>
      <c r="E97" s="114"/>
      <c r="G97" s="104"/>
      <c r="H97" s="108">
        <f>'2019 Certified Estimate'!H99</f>
        <v>0</v>
      </c>
      <c r="I97" s="119">
        <v>0</v>
      </c>
      <c r="J97" s="117">
        <v>0</v>
      </c>
    </row>
    <row r="98" spans="1:10" ht="9.75">
      <c r="A98" s="113" t="s">
        <v>128</v>
      </c>
      <c r="B98" s="114"/>
      <c r="C98" s="114"/>
      <c r="D98" s="115"/>
      <c r="E98" s="114"/>
      <c r="G98" s="104"/>
      <c r="H98" s="108">
        <f>'2019 Certified Estimate'!H100</f>
        <v>0</v>
      </c>
      <c r="I98" s="119">
        <v>0</v>
      </c>
      <c r="J98" s="117">
        <v>0</v>
      </c>
    </row>
    <row r="99" spans="1:10" ht="9.75">
      <c r="A99" s="113" t="s">
        <v>157</v>
      </c>
      <c r="B99" s="114"/>
      <c r="C99" s="114"/>
      <c r="D99" s="115"/>
      <c r="E99" s="114"/>
      <c r="G99" s="104"/>
      <c r="H99" s="108">
        <f>'2019 Certified Estimate'!H101</f>
        <v>-10262550</v>
      </c>
      <c r="I99" s="118">
        <v>-9719627</v>
      </c>
      <c r="J99" s="117">
        <f aca="true" t="shared" si="10" ref="J99:J104">(I99-H99)/H99</f>
        <v>-0.052903323248120596</v>
      </c>
    </row>
    <row r="100" spans="1:10" ht="9.75">
      <c r="A100" s="113" t="s">
        <v>53</v>
      </c>
      <c r="B100" s="114"/>
      <c r="C100" s="114"/>
      <c r="D100" s="115"/>
      <c r="E100" s="114"/>
      <c r="G100" s="104"/>
      <c r="H100" s="108">
        <f>'2019 Certified Estimate'!H102</f>
        <v>-19870890</v>
      </c>
      <c r="I100" s="118">
        <v>-11426472</v>
      </c>
      <c r="J100" s="117">
        <f t="shared" si="10"/>
        <v>-0.42496425675951105</v>
      </c>
    </row>
    <row r="101" spans="1:10" ht="9.75">
      <c r="A101" s="113" t="s">
        <v>54</v>
      </c>
      <c r="B101" s="114"/>
      <c r="C101" s="114"/>
      <c r="D101" s="115"/>
      <c r="E101" s="114"/>
      <c r="F101" s="130"/>
      <c r="G101" s="104"/>
      <c r="H101" s="108">
        <f>'2019 Certified Estimate'!H103</f>
        <v>-2258089</v>
      </c>
      <c r="I101" s="118">
        <v>-2146883</v>
      </c>
      <c r="J101" s="117">
        <f t="shared" si="10"/>
        <v>-0.04924783744130546</v>
      </c>
    </row>
    <row r="102" spans="1:10" ht="9.75">
      <c r="A102" s="113" t="s">
        <v>55</v>
      </c>
      <c r="B102" s="114"/>
      <c r="C102" s="114"/>
      <c r="D102" s="115"/>
      <c r="E102" s="114"/>
      <c r="G102" s="104"/>
      <c r="H102" s="108">
        <f>'2019 Certified Estimate'!H104</f>
        <v>-392480</v>
      </c>
      <c r="I102" s="118">
        <v>-408936</v>
      </c>
      <c r="J102" s="117">
        <f t="shared" si="10"/>
        <v>0.04192825112107623</v>
      </c>
    </row>
    <row r="103" spans="1:10" ht="9.75">
      <c r="A103" s="113" t="s">
        <v>56</v>
      </c>
      <c r="B103" s="114"/>
      <c r="C103" s="114"/>
      <c r="D103" s="115"/>
      <c r="E103" s="114"/>
      <c r="F103" s="130"/>
      <c r="G103" s="104"/>
      <c r="H103" s="108">
        <f>'2019 Certified Estimate'!H105</f>
        <v>-1142448</v>
      </c>
      <c r="I103" s="118">
        <v>-1026592</v>
      </c>
      <c r="J103" s="117">
        <f t="shared" si="10"/>
        <v>-0.10141030488915032</v>
      </c>
    </row>
    <row r="104" spans="1:10" ht="9.75">
      <c r="A104" s="113" t="s">
        <v>57</v>
      </c>
      <c r="B104" s="114"/>
      <c r="C104" s="114"/>
      <c r="D104" s="115"/>
      <c r="E104" s="114"/>
      <c r="G104" s="104"/>
      <c r="H104" s="108">
        <f>'2019 Certified Estimate'!H106</f>
        <v>-21277649</v>
      </c>
      <c r="I104" s="118">
        <v>-17538857</v>
      </c>
      <c r="J104" s="117">
        <f t="shared" si="10"/>
        <v>-0.17571452560383904</v>
      </c>
    </row>
    <row r="105" spans="1:10" ht="9.75">
      <c r="A105" s="113" t="s">
        <v>58</v>
      </c>
      <c r="B105" s="114"/>
      <c r="C105" s="114"/>
      <c r="D105" s="115"/>
      <c r="E105" s="114"/>
      <c r="G105" s="104"/>
      <c r="H105" s="108">
        <f>'2019 Certified Estimate'!H107</f>
        <v>0</v>
      </c>
      <c r="I105" s="119">
        <v>0</v>
      </c>
      <c r="J105" s="117">
        <v>0</v>
      </c>
    </row>
    <row r="106" spans="1:10" ht="10.5" thickBot="1">
      <c r="A106" s="113" t="s">
        <v>59</v>
      </c>
      <c r="B106" s="114"/>
      <c r="C106" s="114"/>
      <c r="D106" s="115"/>
      <c r="E106" s="114"/>
      <c r="G106" s="104"/>
      <c r="H106" s="108">
        <f>'2019 Certified Estimate'!H108</f>
        <v>0</v>
      </c>
      <c r="I106" s="119">
        <v>0</v>
      </c>
      <c r="J106" s="117">
        <v>0</v>
      </c>
    </row>
    <row r="107" spans="1:10" ht="10.5" thickBot="1">
      <c r="A107" s="250" t="s">
        <v>60</v>
      </c>
      <c r="B107" s="251"/>
      <c r="C107" s="251"/>
      <c r="D107" s="252"/>
      <c r="E107" s="251"/>
      <c r="F107" s="253"/>
      <c r="G107" s="253"/>
      <c r="H107" s="254">
        <f>SUM(H95:H106)</f>
        <v>128602852</v>
      </c>
      <c r="I107" s="257">
        <f>SUM(I95:I106)</f>
        <v>159702743</v>
      </c>
      <c r="J107" s="256">
        <f>(I107-H107)/H107</f>
        <v>0.24182893704410224</v>
      </c>
    </row>
    <row r="108" spans="1:9" ht="9.75">
      <c r="A108" s="121" t="s">
        <v>61</v>
      </c>
      <c r="B108" s="114"/>
      <c r="C108" s="114"/>
      <c r="D108" s="230"/>
      <c r="E108" s="108">
        <f>'2019 Certified Estimate'!E110</f>
        <v>16536502</v>
      </c>
      <c r="F108" s="118">
        <v>13285340</v>
      </c>
      <c r="G108" s="123">
        <f>(F108-E108)/E108</f>
        <v>-0.1966051828857155</v>
      </c>
      <c r="H108" s="124"/>
      <c r="I108" s="125"/>
    </row>
    <row r="109" spans="1:11" ht="9.75">
      <c r="A109" s="121" t="s">
        <v>19</v>
      </c>
      <c r="D109" s="104"/>
      <c r="E109" s="127">
        <f>'2019 Certified Estimate'!E111</f>
        <v>161533.14</v>
      </c>
      <c r="F109" s="137">
        <v>126040.35</v>
      </c>
      <c r="G109" s="123">
        <f>(F109-E109)/E109</f>
        <v>-0.219724509781708</v>
      </c>
      <c r="H109" s="124"/>
      <c r="I109" s="125"/>
      <c r="K109" s="130"/>
    </row>
    <row r="110" spans="1:9" ht="9.75">
      <c r="A110" s="121" t="str">
        <f>A72</f>
        <v>2014 Adpoted/2014 Revenue Neutral Tax Rate</v>
      </c>
      <c r="D110" s="104"/>
      <c r="E110" s="249">
        <v>1.25</v>
      </c>
      <c r="F110" s="141">
        <v>1.1615</v>
      </c>
      <c r="G110" s="123">
        <f>(F110-E110)/E110</f>
        <v>-0.07080000000000002</v>
      </c>
      <c r="H110" s="112"/>
      <c r="I110" s="108"/>
    </row>
    <row r="111" spans="1:10" ht="9.75">
      <c r="A111" s="121" t="s">
        <v>62</v>
      </c>
      <c r="B111" s="104"/>
      <c r="C111" s="104"/>
      <c r="D111" s="104"/>
      <c r="E111" s="104"/>
      <c r="F111" s="104"/>
      <c r="G111" s="104"/>
      <c r="H111" s="125">
        <f>(H107-E108)*E110/100+E109</f>
        <v>1562362.5150000001</v>
      </c>
      <c r="I111" s="125">
        <f>(I107-F108)*F110/100+F109</f>
        <v>1826678.485845</v>
      </c>
      <c r="J111" s="123">
        <f>(I111-H111)/H111</f>
        <v>0.16917710730214228</v>
      </c>
    </row>
    <row r="112" spans="1:10" ht="9.75">
      <c r="A112" s="121" t="s">
        <v>18</v>
      </c>
      <c r="G112" s="104"/>
      <c r="H112" s="108">
        <f>'2019 Certified Estimate'!H114</f>
        <v>2305033</v>
      </c>
      <c r="I112" s="118">
        <v>9249634</v>
      </c>
      <c r="J112" s="123">
        <f>(I112-H112)/H112</f>
        <v>3.0127989490822906</v>
      </c>
    </row>
    <row r="113" spans="1:10" ht="9.75">
      <c r="A113" s="121" t="s">
        <v>17</v>
      </c>
      <c r="G113" s="104"/>
      <c r="H113" s="108">
        <f>'2019 Certified Estimate'!H115</f>
        <v>8166</v>
      </c>
      <c r="I113" s="118">
        <v>7965</v>
      </c>
      <c r="J113" s="123">
        <f>(I113-H113)/H113</f>
        <v>-0.02461425422483468</v>
      </c>
    </row>
    <row r="114" spans="1:10" s="136" customFormat="1" ht="10.5" thickBot="1">
      <c r="A114" s="132"/>
      <c r="H114" s="140"/>
      <c r="I114" s="140"/>
      <c r="J114" s="135"/>
    </row>
    <row r="115" spans="1:11" ht="10.5" thickBot="1">
      <c r="A115" s="267" t="s">
        <v>3</v>
      </c>
      <c r="B115" s="95" t="s">
        <v>32</v>
      </c>
      <c r="C115" s="96"/>
      <c r="D115" s="97"/>
      <c r="E115" s="95" t="s">
        <v>33</v>
      </c>
      <c r="F115" s="96"/>
      <c r="G115" s="97"/>
      <c r="H115" s="95" t="s">
        <v>34</v>
      </c>
      <c r="I115" s="96"/>
      <c r="J115" s="97"/>
      <c r="K115" s="99"/>
    </row>
    <row r="116" spans="1:11" ht="9.75">
      <c r="A116" s="9" t="s">
        <v>35</v>
      </c>
      <c r="B116" s="101" t="s">
        <v>193</v>
      </c>
      <c r="C116" s="102" t="s">
        <v>188</v>
      </c>
      <c r="D116" s="100" t="s">
        <v>67</v>
      </c>
      <c r="E116" s="101" t="str">
        <f>B116</f>
        <v>2013 Certified</v>
      </c>
      <c r="F116" s="102" t="s">
        <v>188</v>
      </c>
      <c r="G116" s="100" t="s">
        <v>67</v>
      </c>
      <c r="H116" s="101" t="s">
        <v>187</v>
      </c>
      <c r="I116" s="102" t="s">
        <v>189</v>
      </c>
      <c r="J116" s="100" t="s">
        <v>67</v>
      </c>
      <c r="K116" s="207" t="s">
        <v>71</v>
      </c>
    </row>
    <row r="117" spans="2:11" ht="9.75">
      <c r="B117" s="103"/>
      <c r="C117" s="104"/>
      <c r="D117" s="105"/>
      <c r="E117" s="103"/>
      <c r="F117" s="104"/>
      <c r="G117" s="105"/>
      <c r="H117" s="103"/>
      <c r="I117" s="104"/>
      <c r="J117" s="105"/>
      <c r="K117" s="106"/>
    </row>
    <row r="118" spans="1:11" ht="9.75">
      <c r="A118" s="9" t="s">
        <v>36</v>
      </c>
      <c r="B118" s="107">
        <v>0</v>
      </c>
      <c r="C118" s="108">
        <v>0</v>
      </c>
      <c r="D118" s="105"/>
      <c r="E118" s="107">
        <f>'2019 Certified Estimate'!E121</f>
        <v>58091860</v>
      </c>
      <c r="F118" s="108">
        <v>54473600</v>
      </c>
      <c r="G118" s="110">
        <f aca="true" t="shared" si="11" ref="G118:G129">(F118-E118)/E118</f>
        <v>-0.062285146318262145</v>
      </c>
      <c r="H118" s="107">
        <f aca="true" t="shared" si="12" ref="H118:I128">B118+E118</f>
        <v>58091860</v>
      </c>
      <c r="I118" s="108">
        <f t="shared" si="12"/>
        <v>54473600</v>
      </c>
      <c r="J118" s="110">
        <f aca="true" t="shared" si="13" ref="J118:J126">(I118-H118)/H118</f>
        <v>-0.062285146318262145</v>
      </c>
      <c r="K118" s="111">
        <f>I118/I129</f>
        <v>0.1475580592567764</v>
      </c>
    </row>
    <row r="119" spans="1:11" ht="9.75">
      <c r="A119" s="9" t="s">
        <v>37</v>
      </c>
      <c r="B119" s="107">
        <v>0</v>
      </c>
      <c r="C119" s="108">
        <v>0</v>
      </c>
      <c r="D119" s="105"/>
      <c r="E119" s="107">
        <f>'2019 Certified Estimate'!E122</f>
        <v>420340</v>
      </c>
      <c r="F119" s="108">
        <v>283710</v>
      </c>
      <c r="G119" s="110">
        <f t="shared" si="11"/>
        <v>-0.32504639101679594</v>
      </c>
      <c r="H119" s="107">
        <f t="shared" si="12"/>
        <v>420340</v>
      </c>
      <c r="I119" s="108">
        <f t="shared" si="12"/>
        <v>283710</v>
      </c>
      <c r="J119" s="110">
        <f t="shared" si="13"/>
        <v>-0.32504639101679594</v>
      </c>
      <c r="K119" s="111">
        <f>I119/I129</f>
        <v>0.0007685134999658556</v>
      </c>
    </row>
    <row r="120" spans="1:11" ht="9.75">
      <c r="A120" s="9" t="s">
        <v>38</v>
      </c>
      <c r="B120" s="107">
        <v>0</v>
      </c>
      <c r="C120" s="108">
        <v>0</v>
      </c>
      <c r="D120" s="105"/>
      <c r="E120" s="107">
        <f>'2019 Certified Estimate'!E123</f>
        <v>3646030</v>
      </c>
      <c r="F120" s="108">
        <v>6829070</v>
      </c>
      <c r="G120" s="110">
        <f t="shared" si="11"/>
        <v>0.8730153070600077</v>
      </c>
      <c r="H120" s="107">
        <f t="shared" si="12"/>
        <v>3646030</v>
      </c>
      <c r="I120" s="108">
        <f t="shared" si="12"/>
        <v>6829070</v>
      </c>
      <c r="J120" s="110">
        <f t="shared" si="13"/>
        <v>0.8730153070600077</v>
      </c>
      <c r="K120" s="111">
        <f>I120/I129</f>
        <v>0.018498581252729285</v>
      </c>
    </row>
    <row r="121" spans="1:11" ht="9.75">
      <c r="A121" s="9" t="s">
        <v>39</v>
      </c>
      <c r="B121" s="107">
        <v>0</v>
      </c>
      <c r="C121" s="108">
        <v>0</v>
      </c>
      <c r="D121" s="105"/>
      <c r="E121" s="107">
        <f>'2019 Certified Estimate'!E124</f>
        <v>214977730</v>
      </c>
      <c r="F121" s="108">
        <v>193374600</v>
      </c>
      <c r="G121" s="110">
        <f t="shared" si="11"/>
        <v>-0.10049008332165382</v>
      </c>
      <c r="H121" s="107">
        <f t="shared" si="12"/>
        <v>214977730</v>
      </c>
      <c r="I121" s="108">
        <f t="shared" si="12"/>
        <v>193374600</v>
      </c>
      <c r="J121" s="110">
        <f t="shared" si="13"/>
        <v>-0.10049008332165382</v>
      </c>
      <c r="K121" s="111">
        <f>I121/I129</f>
        <v>0.5238130155810417</v>
      </c>
    </row>
    <row r="122" spans="1:11" ht="9.75">
      <c r="A122" s="9" t="s">
        <v>40</v>
      </c>
      <c r="B122" s="107">
        <v>0</v>
      </c>
      <c r="C122" s="108">
        <v>0</v>
      </c>
      <c r="D122" s="110"/>
      <c r="E122" s="107">
        <f>'2019 Certified Estimate'!E125</f>
        <v>5641480</v>
      </c>
      <c r="F122" s="108">
        <v>6206950</v>
      </c>
      <c r="G122" s="110">
        <f t="shared" si="11"/>
        <v>0.10023433567078142</v>
      </c>
      <c r="H122" s="107">
        <f t="shared" si="12"/>
        <v>5641480</v>
      </c>
      <c r="I122" s="108">
        <f t="shared" si="12"/>
        <v>6206950</v>
      </c>
      <c r="J122" s="110">
        <f t="shared" si="13"/>
        <v>0.10023433567078142</v>
      </c>
      <c r="K122" s="111">
        <f>I122/I129</f>
        <v>0.016813382921338927</v>
      </c>
    </row>
    <row r="123" spans="1:11" ht="9.75">
      <c r="A123" s="9" t="s">
        <v>41</v>
      </c>
      <c r="B123" s="107">
        <f>'2019 Certified Estimate'!B126</f>
        <v>24141960</v>
      </c>
      <c r="C123" s="109">
        <v>59440150</v>
      </c>
      <c r="D123" s="110">
        <f>(C123-B123)/B123</f>
        <v>1.46210953874499</v>
      </c>
      <c r="E123" s="107">
        <f>'2019 Certified Estimate'!E126</f>
        <v>0</v>
      </c>
      <c r="F123" s="108">
        <v>0</v>
      </c>
      <c r="G123" s="110">
        <v>0</v>
      </c>
      <c r="H123" s="107">
        <f t="shared" si="12"/>
        <v>24141960</v>
      </c>
      <c r="I123" s="108">
        <f t="shared" si="12"/>
        <v>59440150</v>
      </c>
      <c r="J123" s="110">
        <f t="shared" si="13"/>
        <v>1.46210953874499</v>
      </c>
      <c r="K123" s="111">
        <f>I123/I129</f>
        <v>0.16101144730533098</v>
      </c>
    </row>
    <row r="124" spans="1:11" ht="9.75">
      <c r="A124" s="9" t="s">
        <v>42</v>
      </c>
      <c r="B124" s="107">
        <f>'2019 Certified Estimate'!B127</f>
        <v>29699220</v>
      </c>
      <c r="C124" s="109">
        <v>20034860</v>
      </c>
      <c r="D124" s="110">
        <f>(C124-B124)/B124</f>
        <v>-0.3254078726646693</v>
      </c>
      <c r="E124" s="107">
        <f>'2019 Certified Estimate'!E127</f>
        <v>135170</v>
      </c>
      <c r="F124" s="108">
        <v>144750</v>
      </c>
      <c r="G124" s="110">
        <f t="shared" si="11"/>
        <v>0.07087371458163794</v>
      </c>
      <c r="H124" s="107">
        <f t="shared" si="12"/>
        <v>29834390</v>
      </c>
      <c r="I124" s="108">
        <f t="shared" si="12"/>
        <v>20179610</v>
      </c>
      <c r="J124" s="110">
        <f t="shared" si="13"/>
        <v>-0.32361244858701654</v>
      </c>
      <c r="K124" s="111">
        <f>I124/I129</f>
        <v>0.05466251703868732</v>
      </c>
    </row>
    <row r="125" spans="1:11" ht="9.75">
      <c r="A125" s="9" t="s">
        <v>43</v>
      </c>
      <c r="B125" s="107">
        <f>'2019 Certified Estimate'!B128</f>
        <v>2390720</v>
      </c>
      <c r="C125" s="109">
        <v>1805090</v>
      </c>
      <c r="D125" s="110">
        <f>(C125-B125)/B125</f>
        <v>-0.24495967741935484</v>
      </c>
      <c r="E125" s="107">
        <f>'2019 Certified Estimate'!E128</f>
        <v>1565810</v>
      </c>
      <c r="F125" s="108">
        <v>2280130</v>
      </c>
      <c r="G125" s="110">
        <f t="shared" si="11"/>
        <v>0.456198389332039</v>
      </c>
      <c r="H125" s="107">
        <f t="shared" si="12"/>
        <v>3956530</v>
      </c>
      <c r="I125" s="108">
        <f t="shared" si="12"/>
        <v>4085220</v>
      </c>
      <c r="J125" s="110">
        <f t="shared" si="13"/>
        <v>0.0325259760446654</v>
      </c>
      <c r="K125" s="111">
        <f>I125/I129</f>
        <v>0.011066041804414763</v>
      </c>
    </row>
    <row r="126" spans="1:11" ht="9.75">
      <c r="A126" s="9" t="s">
        <v>44</v>
      </c>
      <c r="B126" s="107">
        <v>0</v>
      </c>
      <c r="C126" s="108">
        <v>0</v>
      </c>
      <c r="D126" s="110"/>
      <c r="E126" s="107">
        <f>'2019 Certified Estimate'!E129</f>
        <v>3391320</v>
      </c>
      <c r="F126" s="108">
        <v>3874060</v>
      </c>
      <c r="G126" s="110">
        <f t="shared" si="11"/>
        <v>0.1423457532760105</v>
      </c>
      <c r="H126" s="107">
        <f t="shared" si="12"/>
        <v>3391320</v>
      </c>
      <c r="I126" s="108">
        <f t="shared" si="12"/>
        <v>3874060</v>
      </c>
      <c r="J126" s="110">
        <f t="shared" si="13"/>
        <v>0.1423457532760105</v>
      </c>
      <c r="K126" s="111">
        <f>I126/I129</f>
        <v>0.010494051706593784</v>
      </c>
    </row>
    <row r="127" spans="1:11" ht="9.75">
      <c r="A127" s="9" t="s">
        <v>45</v>
      </c>
      <c r="B127" s="107">
        <v>0</v>
      </c>
      <c r="C127" s="108">
        <v>0</v>
      </c>
      <c r="D127" s="110"/>
      <c r="E127" s="107">
        <f>'2019 Certified Estimate'!E130</f>
        <v>0</v>
      </c>
      <c r="F127" s="108">
        <v>0</v>
      </c>
      <c r="G127" s="110">
        <v>0</v>
      </c>
      <c r="H127" s="107">
        <f t="shared" si="12"/>
        <v>0</v>
      </c>
      <c r="I127" s="108">
        <f t="shared" si="12"/>
        <v>0</v>
      </c>
      <c r="J127" s="110">
        <v>0</v>
      </c>
      <c r="K127" s="111">
        <f>I127/I129</f>
        <v>0</v>
      </c>
    </row>
    <row r="128" spans="1:11" ht="10.5" thickBot="1">
      <c r="A128" s="9" t="s">
        <v>46</v>
      </c>
      <c r="B128" s="107">
        <v>0</v>
      </c>
      <c r="C128" s="108">
        <v>0</v>
      </c>
      <c r="D128" s="110"/>
      <c r="E128" s="107">
        <f>'2019 Certified Estimate'!E131</f>
        <v>21733150</v>
      </c>
      <c r="F128" s="108">
        <v>20420260</v>
      </c>
      <c r="G128" s="110">
        <f t="shared" si="11"/>
        <v>-0.060409558669590004</v>
      </c>
      <c r="H128" s="107">
        <f t="shared" si="12"/>
        <v>21733150</v>
      </c>
      <c r="I128" s="108">
        <f t="shared" si="12"/>
        <v>20420260</v>
      </c>
      <c r="J128" s="110">
        <f aca="true" t="shared" si="14" ref="J128:J134">(I128-H128)/H128</f>
        <v>-0.060409558669590004</v>
      </c>
      <c r="K128" s="111">
        <f>I128/I129</f>
        <v>0.05531438963312101</v>
      </c>
    </row>
    <row r="129" spans="1:11" ht="10.5" thickBot="1">
      <c r="A129" s="250" t="s">
        <v>47</v>
      </c>
      <c r="B129" s="259">
        <f>SUM(B118:B128)</f>
        <v>56231900</v>
      </c>
      <c r="C129" s="260">
        <f>SUM(C118:C128)</f>
        <v>81280100</v>
      </c>
      <c r="D129" s="256">
        <f>(C129-B129)/B129</f>
        <v>0.44544466752857365</v>
      </c>
      <c r="E129" s="259">
        <f>SUM(E118:E128)</f>
        <v>309602890</v>
      </c>
      <c r="F129" s="260">
        <f>SUM(F118:F128)</f>
        <v>287887130</v>
      </c>
      <c r="G129" s="256">
        <f t="shared" si="11"/>
        <v>-0.07014068893219956</v>
      </c>
      <c r="H129" s="263">
        <f>SUM(H118:H128)</f>
        <v>365834790</v>
      </c>
      <c r="I129" s="257">
        <f>SUM(I118:I128)</f>
        <v>369167230</v>
      </c>
      <c r="J129" s="256">
        <f t="shared" si="14"/>
        <v>0.009109139128074725</v>
      </c>
      <c r="K129" s="261">
        <f>SUM(K118:K128)</f>
        <v>0.9999999999999999</v>
      </c>
    </row>
    <row r="130" spans="1:10" ht="9.75">
      <c r="A130" s="113" t="str">
        <f>A16</f>
        <v>Less Minimum Value Loss</v>
      </c>
      <c r="G130" s="104"/>
      <c r="H130" s="108">
        <f>'2019 Certified Estimate'!H133</f>
        <v>0</v>
      </c>
      <c r="I130" s="120">
        <v>0</v>
      </c>
      <c r="J130" s="126">
        <v>0</v>
      </c>
    </row>
    <row r="131" spans="1:10" ht="9.75">
      <c r="A131" s="113" t="s">
        <v>174</v>
      </c>
      <c r="G131" s="104"/>
      <c r="H131" s="108">
        <f>'2019 Certified Estimate'!H134</f>
        <v>-597250</v>
      </c>
      <c r="I131" s="108">
        <v>-524870</v>
      </c>
      <c r="J131" s="126">
        <f t="shared" si="14"/>
        <v>-0.12118878191712014</v>
      </c>
    </row>
    <row r="132" spans="1:10" ht="10.5" thickBot="1">
      <c r="A132" s="113" t="s">
        <v>49</v>
      </c>
      <c r="C132" s="114"/>
      <c r="G132" s="104"/>
      <c r="H132" s="108">
        <f>'2019 Certified Estimate'!H135</f>
        <v>-97355940</v>
      </c>
      <c r="I132" s="108">
        <v>-90199650</v>
      </c>
      <c r="J132" s="126">
        <f t="shared" si="14"/>
        <v>-0.07350645476793712</v>
      </c>
    </row>
    <row r="133" spans="1:10" ht="10.5" thickBot="1">
      <c r="A133" s="250" t="s">
        <v>50</v>
      </c>
      <c r="B133" s="253"/>
      <c r="C133" s="253"/>
      <c r="D133" s="253"/>
      <c r="E133" s="253"/>
      <c r="F133" s="253"/>
      <c r="G133" s="253"/>
      <c r="H133" s="254">
        <f>SUM(H129:H132)</f>
        <v>267881600</v>
      </c>
      <c r="I133" s="257">
        <f>SUM(I129:I132)</f>
        <v>278442710</v>
      </c>
      <c r="J133" s="256">
        <f t="shared" si="14"/>
        <v>0.03942454427627728</v>
      </c>
    </row>
    <row r="134" spans="1:10" ht="9.75">
      <c r="A134" s="113" t="s">
        <v>127</v>
      </c>
      <c r="G134" s="104"/>
      <c r="H134" s="108">
        <f>'2019 Certified Estimate'!H137</f>
        <v>-194510</v>
      </c>
      <c r="I134" s="108">
        <v>-174300</v>
      </c>
      <c r="J134" s="126">
        <f t="shared" si="14"/>
        <v>-0.10390211300190222</v>
      </c>
    </row>
    <row r="135" spans="1:10" ht="9.75">
      <c r="A135" s="113" t="s">
        <v>78</v>
      </c>
      <c r="G135" s="104"/>
      <c r="H135" s="108">
        <f>'2019 Certified Estimate'!H138</f>
        <v>0</v>
      </c>
      <c r="I135" s="108">
        <v>0</v>
      </c>
      <c r="J135" s="126">
        <v>0</v>
      </c>
    </row>
    <row r="136" spans="1:10" ht="9.75">
      <c r="A136" s="113" t="s">
        <v>128</v>
      </c>
      <c r="G136" s="104"/>
      <c r="H136" s="108">
        <f>'2019 Certified Estimate'!H139</f>
        <v>0</v>
      </c>
      <c r="I136" s="108">
        <v>0</v>
      </c>
      <c r="J136" s="126">
        <v>0</v>
      </c>
    </row>
    <row r="137" spans="1:10" ht="9.75">
      <c r="A137" s="113" t="s">
        <v>157</v>
      </c>
      <c r="G137" s="104"/>
      <c r="H137" s="108">
        <f>'2019 Certified Estimate'!H140</f>
        <v>-21740020</v>
      </c>
      <c r="I137" s="108">
        <v>-20530181</v>
      </c>
      <c r="J137" s="126">
        <f aca="true" t="shared" si="15" ref="J137:J142">(I137-H137)/H137</f>
        <v>-0.055650316789036994</v>
      </c>
    </row>
    <row r="138" spans="1:10" ht="9.75">
      <c r="A138" s="113" t="s">
        <v>53</v>
      </c>
      <c r="G138" s="104"/>
      <c r="H138" s="108">
        <f>'2019 Certified Estimate'!H141</f>
        <v>-16359577</v>
      </c>
      <c r="I138" s="108">
        <v>-10086973</v>
      </c>
      <c r="J138" s="126">
        <f t="shared" si="15"/>
        <v>-0.3834209160786981</v>
      </c>
    </row>
    <row r="139" spans="1:10" ht="9.75">
      <c r="A139" s="113" t="s">
        <v>54</v>
      </c>
      <c r="G139" s="104"/>
      <c r="H139" s="108">
        <f>'2019 Certified Estimate'!H142</f>
        <v>-2523029</v>
      </c>
      <c r="I139" s="108">
        <v>-2540225</v>
      </c>
      <c r="J139" s="126">
        <f t="shared" si="15"/>
        <v>0.006815617260047348</v>
      </c>
    </row>
    <row r="140" spans="1:10" ht="9.75">
      <c r="A140" s="113" t="s">
        <v>55</v>
      </c>
      <c r="G140" s="104"/>
      <c r="H140" s="108">
        <f>'2019 Certified Estimate'!H143</f>
        <v>-418840</v>
      </c>
      <c r="I140" s="108">
        <v>-486568</v>
      </c>
      <c r="J140" s="126">
        <f t="shared" si="15"/>
        <v>0.16170375322318786</v>
      </c>
    </row>
    <row r="141" spans="1:10" ht="9.75">
      <c r="A141" s="113" t="s">
        <v>56</v>
      </c>
      <c r="G141" s="104"/>
      <c r="H141" s="108">
        <f>'2019 Certified Estimate'!H144</f>
        <v>-1297209</v>
      </c>
      <c r="I141" s="108">
        <v>-1231553</v>
      </c>
      <c r="J141" s="126">
        <f t="shared" si="15"/>
        <v>-0.050613278199580794</v>
      </c>
    </row>
    <row r="142" spans="1:10" ht="9.75">
      <c r="A142" s="113" t="s">
        <v>57</v>
      </c>
      <c r="G142" s="104"/>
      <c r="H142" s="108">
        <f>'2019 Certified Estimate'!H145</f>
        <v>-14680187</v>
      </c>
      <c r="I142" s="108">
        <v>-13528732</v>
      </c>
      <c r="J142" s="126">
        <f t="shared" si="15"/>
        <v>-0.07843598995026425</v>
      </c>
    </row>
    <row r="143" spans="1:10" ht="9.75">
      <c r="A143" s="113" t="s">
        <v>58</v>
      </c>
      <c r="G143" s="104"/>
      <c r="H143" s="108">
        <f>'2019 Certified Estimate'!H146</f>
        <v>0</v>
      </c>
      <c r="I143" s="108">
        <v>0</v>
      </c>
      <c r="J143" s="117">
        <v>0</v>
      </c>
    </row>
    <row r="144" spans="1:10" ht="10.5" thickBot="1">
      <c r="A144" s="113" t="s">
        <v>59</v>
      </c>
      <c r="G144" s="104"/>
      <c r="H144" s="108">
        <f>'2019 Certified Estimate'!H147</f>
        <v>0</v>
      </c>
      <c r="I144" s="108">
        <v>0</v>
      </c>
      <c r="J144" s="117">
        <v>0</v>
      </c>
    </row>
    <row r="145" spans="1:10" ht="10.5" thickBot="1">
      <c r="A145" s="250" t="s">
        <v>60</v>
      </c>
      <c r="B145" s="253"/>
      <c r="C145" s="253"/>
      <c r="D145" s="253"/>
      <c r="E145" s="253"/>
      <c r="F145" s="253"/>
      <c r="G145" s="253"/>
      <c r="H145" s="254">
        <f>SUM(H133:H144)</f>
        <v>210668228</v>
      </c>
      <c r="I145" s="257">
        <f>SUM(I133:I144)</f>
        <v>229864178</v>
      </c>
      <c r="J145" s="256">
        <f>(I145-H145)/H145</f>
        <v>0.09111934050159666</v>
      </c>
    </row>
    <row r="146" spans="1:10" ht="9.75">
      <c r="A146" s="121" t="s">
        <v>61</v>
      </c>
      <c r="D146" s="104"/>
      <c r="E146" s="108">
        <f>'2019 Certified Values'!E146</f>
        <v>17359675</v>
      </c>
      <c r="F146" s="118">
        <v>15883664</v>
      </c>
      <c r="G146" s="123">
        <f>(F146-E146)/E146</f>
        <v>-0.08502526689007715</v>
      </c>
      <c r="H146" s="124"/>
      <c r="I146" s="125"/>
      <c r="J146" s="115"/>
    </row>
    <row r="147" spans="1:11" ht="9.75">
      <c r="A147" s="121" t="s">
        <v>19</v>
      </c>
      <c r="D147" s="104"/>
      <c r="E147" s="127">
        <f>'2019 Certified Values'!E147</f>
        <v>136863.86</v>
      </c>
      <c r="F147" s="137">
        <v>121352.04</v>
      </c>
      <c r="G147" s="123">
        <f>(F147-E147)/E147</f>
        <v>-0.11333758963103915</v>
      </c>
      <c r="H147" s="124"/>
      <c r="I147" s="125"/>
      <c r="J147" s="115"/>
      <c r="K147" s="130"/>
    </row>
    <row r="148" spans="1:10" ht="9.75">
      <c r="A148" s="121" t="str">
        <f>A110</f>
        <v>2014 Adpoted/2014 Revenue Neutral Tax Rate</v>
      </c>
      <c r="D148" s="104"/>
      <c r="E148" s="217">
        <v>1.04</v>
      </c>
      <c r="F148" s="141">
        <v>0.9699</v>
      </c>
      <c r="G148" s="123">
        <f>(F148-E148)/E148</f>
        <v>-0.0674038461538462</v>
      </c>
      <c r="H148" s="119"/>
      <c r="I148" s="125"/>
      <c r="J148" s="115"/>
    </row>
    <row r="149" spans="1:10" ht="9.75">
      <c r="A149" s="121" t="s">
        <v>62</v>
      </c>
      <c r="B149" s="104"/>
      <c r="C149" s="104"/>
      <c r="D149" s="104"/>
      <c r="E149" s="104"/>
      <c r="F149" s="104"/>
      <c r="G149" s="104"/>
      <c r="H149" s="125">
        <f>(H145-E146)*E148/100+E147</f>
        <v>2147272.8112</v>
      </c>
      <c r="I149" s="125">
        <f>(I145-F146)*F148/100+F147</f>
        <v>2196749.045286</v>
      </c>
      <c r="J149" s="123">
        <f>(I149-H149)/H149</f>
        <v>0.0230414290293883</v>
      </c>
    </row>
    <row r="150" spans="1:10" ht="9.75">
      <c r="A150" s="121" t="s">
        <v>18</v>
      </c>
      <c r="G150" s="104"/>
      <c r="H150" s="108">
        <f>'2019 Certified Estimate'!H153</f>
        <v>1466794</v>
      </c>
      <c r="I150" s="120">
        <v>8789832</v>
      </c>
      <c r="J150" s="123">
        <f>(I150-H150)/H150</f>
        <v>4.992547010691345</v>
      </c>
    </row>
    <row r="151" spans="1:10" ht="9.75">
      <c r="A151" s="121" t="s">
        <v>17</v>
      </c>
      <c r="G151" s="104"/>
      <c r="H151" s="108">
        <f>'2019 Certified Estimate'!H154</f>
        <v>12570</v>
      </c>
      <c r="I151" s="120">
        <v>11183</v>
      </c>
      <c r="J151" s="123">
        <f>(I151-H151)/H151</f>
        <v>-0.11034208432776452</v>
      </c>
    </row>
    <row r="152" spans="1:10" s="136" customFormat="1" ht="10.5" thickBot="1">
      <c r="A152" s="132"/>
      <c r="H152" s="142"/>
      <c r="I152" s="142"/>
      <c r="J152" s="135"/>
    </row>
    <row r="153" spans="1:11" ht="10.5" thickBot="1">
      <c r="A153" s="267" t="s">
        <v>4</v>
      </c>
      <c r="B153" s="95" t="s">
        <v>32</v>
      </c>
      <c r="C153" s="96"/>
      <c r="D153" s="97"/>
      <c r="E153" s="95" t="s">
        <v>33</v>
      </c>
      <c r="F153" s="96"/>
      <c r="G153" s="97"/>
      <c r="H153" s="95" t="s">
        <v>34</v>
      </c>
      <c r="I153" s="96"/>
      <c r="J153" s="97"/>
      <c r="K153" s="99"/>
    </row>
    <row r="154" spans="1:11" ht="9.75">
      <c r="A154" s="9" t="s">
        <v>35</v>
      </c>
      <c r="B154" s="101" t="s">
        <v>193</v>
      </c>
      <c r="C154" s="102" t="s">
        <v>188</v>
      </c>
      <c r="D154" s="100" t="s">
        <v>67</v>
      </c>
      <c r="E154" s="101" t="str">
        <f>B154</f>
        <v>2013 Certified</v>
      </c>
      <c r="F154" s="102" t="s">
        <v>188</v>
      </c>
      <c r="G154" s="100" t="s">
        <v>67</v>
      </c>
      <c r="H154" s="101" t="s">
        <v>187</v>
      </c>
      <c r="I154" s="102" t="s">
        <v>189</v>
      </c>
      <c r="J154" s="100" t="s">
        <v>67</v>
      </c>
      <c r="K154" s="207" t="s">
        <v>71</v>
      </c>
    </row>
    <row r="155" spans="2:11" ht="9.75">
      <c r="B155" s="103"/>
      <c r="C155" s="104"/>
      <c r="D155" s="105"/>
      <c r="E155" s="103"/>
      <c r="F155" s="104"/>
      <c r="G155" s="105"/>
      <c r="H155" s="103"/>
      <c r="I155" s="104"/>
      <c r="J155" s="105"/>
      <c r="K155" s="106"/>
    </row>
    <row r="156" spans="1:11" ht="9.75">
      <c r="A156" s="9" t="s">
        <v>36</v>
      </c>
      <c r="B156" s="107">
        <v>0</v>
      </c>
      <c r="C156" s="108">
        <v>0</v>
      </c>
      <c r="D156" s="105"/>
      <c r="E156" s="109">
        <v>629653960</v>
      </c>
      <c r="F156" s="109">
        <v>651885160</v>
      </c>
      <c r="G156" s="110">
        <f>(F156-E156)/E156</f>
        <v>0.03530701212456442</v>
      </c>
      <c r="H156" s="107">
        <f aca="true" t="shared" si="16" ref="H156:I166">B156+E156</f>
        <v>629653960</v>
      </c>
      <c r="I156" s="108">
        <f t="shared" si="16"/>
        <v>651885160</v>
      </c>
      <c r="J156" s="110">
        <f aca="true" t="shared" si="17" ref="J156:J167">(I156-H156)/H156</f>
        <v>0.03530701212456442</v>
      </c>
      <c r="K156" s="111">
        <f>I156/I167</f>
        <v>0.18966398359096576</v>
      </c>
    </row>
    <row r="157" spans="1:11" ht="9.75">
      <c r="A157" s="9" t="s">
        <v>37</v>
      </c>
      <c r="B157" s="107">
        <v>0</v>
      </c>
      <c r="C157" s="108">
        <v>0</v>
      </c>
      <c r="D157" s="105"/>
      <c r="E157" s="109">
        <v>35655820</v>
      </c>
      <c r="F157" s="109">
        <v>35956220</v>
      </c>
      <c r="G157" s="110">
        <f>(F157-E157)/E157</f>
        <v>0.008424992048983868</v>
      </c>
      <c r="H157" s="107">
        <f t="shared" si="16"/>
        <v>35655820</v>
      </c>
      <c r="I157" s="108">
        <f t="shared" si="16"/>
        <v>35956220</v>
      </c>
      <c r="J157" s="110">
        <f t="shared" si="17"/>
        <v>0.008424992048983868</v>
      </c>
      <c r="K157" s="111">
        <f>I157/I167</f>
        <v>0.010461351689725772</v>
      </c>
    </row>
    <row r="158" spans="1:11" ht="9.75">
      <c r="A158" s="9" t="s">
        <v>38</v>
      </c>
      <c r="B158" s="107">
        <v>0</v>
      </c>
      <c r="C158" s="108">
        <v>0</v>
      </c>
      <c r="D158" s="105"/>
      <c r="E158" s="109">
        <v>36537040</v>
      </c>
      <c r="F158" s="109">
        <v>35149020</v>
      </c>
      <c r="G158" s="110">
        <f>(F158-E158)/E158</f>
        <v>-0.03798939377683578</v>
      </c>
      <c r="H158" s="107">
        <f t="shared" si="16"/>
        <v>36537040</v>
      </c>
      <c r="I158" s="108">
        <f t="shared" si="16"/>
        <v>35149020</v>
      </c>
      <c r="J158" s="110">
        <f t="shared" si="17"/>
        <v>-0.03798939377683578</v>
      </c>
      <c r="K158" s="111">
        <f>I158/I167</f>
        <v>0.010226499330830799</v>
      </c>
    </row>
    <row r="159" spans="1:11" ht="9.75">
      <c r="A159" s="9" t="s">
        <v>39</v>
      </c>
      <c r="B159" s="107">
        <v>0</v>
      </c>
      <c r="C159" s="108">
        <v>0</v>
      </c>
      <c r="D159" s="105"/>
      <c r="E159" s="109">
        <v>703228850</v>
      </c>
      <c r="F159" s="109">
        <v>704788410</v>
      </c>
      <c r="G159" s="110">
        <f>(F159-E159)/E159</f>
        <v>0.0022177133375571837</v>
      </c>
      <c r="H159" s="107">
        <f t="shared" si="16"/>
        <v>703228850</v>
      </c>
      <c r="I159" s="108">
        <f t="shared" si="16"/>
        <v>704788410</v>
      </c>
      <c r="J159" s="110">
        <f t="shared" si="17"/>
        <v>0.0022177133375571837</v>
      </c>
      <c r="K159" s="111">
        <f>I159/I167</f>
        <v>0.2050560215688034</v>
      </c>
    </row>
    <row r="160" spans="1:11" ht="9.75">
      <c r="A160" s="9" t="s">
        <v>40</v>
      </c>
      <c r="B160" s="107">
        <v>0</v>
      </c>
      <c r="C160" s="108"/>
      <c r="D160" s="110"/>
      <c r="E160" s="109">
        <v>502938720</v>
      </c>
      <c r="F160" s="109">
        <v>523500170</v>
      </c>
      <c r="G160" s="110">
        <f>(F160-E160)/E160</f>
        <v>0.04088261488397632</v>
      </c>
      <c r="H160" s="107">
        <f t="shared" si="16"/>
        <v>502938720</v>
      </c>
      <c r="I160" s="108">
        <f t="shared" si="16"/>
        <v>523500170</v>
      </c>
      <c r="J160" s="110">
        <f t="shared" si="17"/>
        <v>0.04088261488397632</v>
      </c>
      <c r="K160" s="111">
        <f>I160/I167</f>
        <v>0.15231076536969762</v>
      </c>
    </row>
    <row r="161" spans="1:11" ht="9.75">
      <c r="A161" s="9" t="s">
        <v>41</v>
      </c>
      <c r="B161" s="152">
        <v>458411908</v>
      </c>
      <c r="C161" s="109">
        <v>448439740</v>
      </c>
      <c r="D161" s="110">
        <f>(C161-B161)/B161</f>
        <v>-0.021753728090327006</v>
      </c>
      <c r="E161" s="109"/>
      <c r="F161" s="109">
        <v>0</v>
      </c>
      <c r="G161" s="110">
        <v>0</v>
      </c>
      <c r="H161" s="107">
        <f t="shared" si="16"/>
        <v>458411908</v>
      </c>
      <c r="I161" s="108">
        <f t="shared" si="16"/>
        <v>448439740</v>
      </c>
      <c r="J161" s="110">
        <f t="shared" si="17"/>
        <v>-0.021753728090327006</v>
      </c>
      <c r="K161" s="111">
        <f>I161/I167</f>
        <v>0.13047216397577904</v>
      </c>
    </row>
    <row r="162" spans="1:11" ht="9.75">
      <c r="A162" s="9" t="s">
        <v>42</v>
      </c>
      <c r="B162" s="152">
        <v>119490000</v>
      </c>
      <c r="C162" s="109">
        <v>127214480</v>
      </c>
      <c r="D162" s="110">
        <f>(C162-B162)/B162</f>
        <v>0.06464540965771194</v>
      </c>
      <c r="E162" s="109">
        <v>8454720</v>
      </c>
      <c r="F162" s="109">
        <v>8384570</v>
      </c>
      <c r="G162" s="110">
        <f aca="true" t="shared" si="18" ref="G162:G167">(F162-E162)/E162</f>
        <v>-0.008297140532152454</v>
      </c>
      <c r="H162" s="107">
        <f t="shared" si="16"/>
        <v>127944720</v>
      </c>
      <c r="I162" s="108">
        <f t="shared" si="16"/>
        <v>135599050</v>
      </c>
      <c r="J162" s="110">
        <f t="shared" si="17"/>
        <v>0.05982529017219312</v>
      </c>
      <c r="K162" s="111">
        <f>I162/I167</f>
        <v>0.03945212680428336</v>
      </c>
    </row>
    <row r="163" spans="1:11" ht="9.75">
      <c r="A163" s="9" t="s">
        <v>43</v>
      </c>
      <c r="B163" s="152">
        <v>591374920</v>
      </c>
      <c r="C163" s="109">
        <v>564268540</v>
      </c>
      <c r="D163" s="110">
        <f>(C163-B163)/B163</f>
        <v>-0.04583620150817353</v>
      </c>
      <c r="E163" s="109">
        <v>132259910</v>
      </c>
      <c r="F163" s="109">
        <v>138188810</v>
      </c>
      <c r="G163" s="110">
        <f t="shared" si="18"/>
        <v>0.04482764278306253</v>
      </c>
      <c r="H163" s="107">
        <f t="shared" si="16"/>
        <v>723634830</v>
      </c>
      <c r="I163" s="108">
        <f t="shared" si="16"/>
        <v>702457350</v>
      </c>
      <c r="J163" s="110">
        <f t="shared" si="17"/>
        <v>-0.029265423832625634</v>
      </c>
      <c r="K163" s="111">
        <f>I163/I167</f>
        <v>0.20437780682682408</v>
      </c>
    </row>
    <row r="164" spans="1:11" ht="9.75">
      <c r="A164" s="9" t="s">
        <v>44</v>
      </c>
      <c r="B164" s="107">
        <v>0</v>
      </c>
      <c r="C164" s="108">
        <v>0</v>
      </c>
      <c r="D164" s="110"/>
      <c r="E164" s="109">
        <v>17685530</v>
      </c>
      <c r="F164" s="109">
        <v>18421100</v>
      </c>
      <c r="G164" s="110">
        <f t="shared" si="18"/>
        <v>0.0415916288626917</v>
      </c>
      <c r="H164" s="107">
        <f t="shared" si="16"/>
        <v>17685530</v>
      </c>
      <c r="I164" s="108">
        <f t="shared" si="16"/>
        <v>18421100</v>
      </c>
      <c r="J164" s="110">
        <f t="shared" si="17"/>
        <v>0.0415916288626917</v>
      </c>
      <c r="K164" s="111">
        <f>I164/I167</f>
        <v>0.005359562423736628</v>
      </c>
    </row>
    <row r="165" spans="1:11" ht="9.75">
      <c r="A165" s="9" t="s">
        <v>45</v>
      </c>
      <c r="B165" s="107">
        <v>0</v>
      </c>
      <c r="C165" s="108">
        <v>0</v>
      </c>
      <c r="D165" s="110"/>
      <c r="E165" s="109">
        <v>10707520</v>
      </c>
      <c r="F165" s="109">
        <v>9123370</v>
      </c>
      <c r="G165" s="110">
        <f t="shared" si="18"/>
        <v>-0.14794742386659096</v>
      </c>
      <c r="H165" s="107">
        <f t="shared" si="16"/>
        <v>10707520</v>
      </c>
      <c r="I165" s="108">
        <f t="shared" si="16"/>
        <v>9123370</v>
      </c>
      <c r="J165" s="110">
        <f t="shared" si="17"/>
        <v>-0.14794742386659096</v>
      </c>
      <c r="K165" s="111">
        <f>I165/I167</f>
        <v>0.002654416458835034</v>
      </c>
    </row>
    <row r="166" spans="1:11" ht="10.5" thickBot="1">
      <c r="A166" s="9" t="s">
        <v>46</v>
      </c>
      <c r="B166" s="107">
        <v>0</v>
      </c>
      <c r="C166" s="108">
        <v>0</v>
      </c>
      <c r="D166" s="110"/>
      <c r="E166" s="109">
        <v>157440380</v>
      </c>
      <c r="F166" s="109">
        <v>171733390</v>
      </c>
      <c r="G166" s="110">
        <f t="shared" si="18"/>
        <v>0.09078363504966133</v>
      </c>
      <c r="H166" s="107">
        <f t="shared" si="16"/>
        <v>157440380</v>
      </c>
      <c r="I166" s="108">
        <f t="shared" si="16"/>
        <v>171733390</v>
      </c>
      <c r="J166" s="110">
        <f t="shared" si="17"/>
        <v>0.09078363504966133</v>
      </c>
      <c r="K166" s="111">
        <f>I166/I167</f>
        <v>0.049965301960518516</v>
      </c>
    </row>
    <row r="167" spans="1:11" ht="10.5" thickBot="1">
      <c r="A167" s="250" t="s">
        <v>47</v>
      </c>
      <c r="B167" s="259">
        <f>SUM(B156:B166)</f>
        <v>1169276828</v>
      </c>
      <c r="C167" s="260">
        <f>SUM(C156:C166)</f>
        <v>1139922760</v>
      </c>
      <c r="D167" s="256">
        <f>(C167-B167)/B167</f>
        <v>-0.025104463970443105</v>
      </c>
      <c r="E167" s="259">
        <f>SUM(E156:E166)</f>
        <v>2234562450</v>
      </c>
      <c r="F167" s="260">
        <f>SUM(F156:F166)</f>
        <v>2297130220</v>
      </c>
      <c r="G167" s="256">
        <f t="shared" si="18"/>
        <v>0.028000009576818943</v>
      </c>
      <c r="H167" s="263">
        <f>SUM(H156:H166)</f>
        <v>3403839278</v>
      </c>
      <c r="I167" s="257">
        <f>SUM(I156:I166)</f>
        <v>3437052980</v>
      </c>
      <c r="J167" s="256">
        <f t="shared" si="17"/>
        <v>0.009757717473521674</v>
      </c>
      <c r="K167" s="261">
        <f>SUM(K156:K166)</f>
        <v>1</v>
      </c>
    </row>
    <row r="168" spans="1:10" ht="9.75">
      <c r="A168" s="113" t="str">
        <f>A16</f>
        <v>Less Minimum Value Loss</v>
      </c>
      <c r="G168" s="104"/>
      <c r="H168" s="108">
        <f>'2019 Certified Estimate'!H172</f>
        <v>0</v>
      </c>
      <c r="I168" s="118">
        <v>0</v>
      </c>
      <c r="J168" s="117">
        <v>0</v>
      </c>
    </row>
    <row r="169" spans="1:10" ht="9.75">
      <c r="A169" s="113" t="s">
        <v>174</v>
      </c>
      <c r="G169" s="104"/>
      <c r="H169" s="118">
        <v>-4977450</v>
      </c>
      <c r="I169" s="109">
        <v>-3391160</v>
      </c>
      <c r="J169" s="117">
        <f>(I169-H169)/H169</f>
        <v>-0.31869531587459443</v>
      </c>
    </row>
    <row r="170" spans="1:10" ht="10.5" thickBot="1">
      <c r="A170" s="113" t="s">
        <v>49</v>
      </c>
      <c r="C170" s="114"/>
      <c r="G170" s="104"/>
      <c r="H170" s="118">
        <v>-194544170</v>
      </c>
      <c r="I170" s="109">
        <v>-197415390</v>
      </c>
      <c r="J170" s="117">
        <f>(I170-H170)/H170</f>
        <v>0.014758704925467568</v>
      </c>
    </row>
    <row r="171" spans="1:10" ht="10.5" thickBot="1">
      <c r="A171" s="250" t="s">
        <v>50</v>
      </c>
      <c r="B171" s="253"/>
      <c r="C171" s="253"/>
      <c r="D171" s="253"/>
      <c r="E171" s="253"/>
      <c r="F171" s="253"/>
      <c r="G171" s="253"/>
      <c r="H171" s="283">
        <f>SUM(H167:H170)</f>
        <v>3204317658</v>
      </c>
      <c r="I171" s="257">
        <f>SUM(I167:I170)</f>
        <v>3236246430</v>
      </c>
      <c r="J171" s="256">
        <f>(I171-H171)/H171</f>
        <v>0.009964296742017953</v>
      </c>
    </row>
    <row r="172" spans="1:10" ht="9.75">
      <c r="A172" s="113" t="s">
        <v>127</v>
      </c>
      <c r="G172" s="104"/>
      <c r="H172" s="120">
        <v>-840680</v>
      </c>
      <c r="I172" s="109">
        <v>-908010</v>
      </c>
      <c r="J172" s="117">
        <f aca="true" t="shared" si="19" ref="J172:J180">(I172-H172)/H172</f>
        <v>0.08008992720178902</v>
      </c>
    </row>
    <row r="173" spans="1:10" ht="9.75">
      <c r="A173" s="113" t="s">
        <v>78</v>
      </c>
      <c r="G173" s="104"/>
      <c r="H173" s="118">
        <v>-120468010</v>
      </c>
      <c r="I173" s="109">
        <v>-124191769</v>
      </c>
      <c r="J173" s="117">
        <f t="shared" si="19"/>
        <v>0.030910770419466545</v>
      </c>
    </row>
    <row r="174" spans="1:10" ht="9.75">
      <c r="A174" s="113" t="s">
        <v>128</v>
      </c>
      <c r="E174" s="144"/>
      <c r="F174" s="144"/>
      <c r="G174" s="247"/>
      <c r="H174" s="118">
        <v>0</v>
      </c>
      <c r="I174" s="109">
        <v>0</v>
      </c>
      <c r="J174" s="117">
        <v>0</v>
      </c>
    </row>
    <row r="175" spans="1:10" ht="9.75">
      <c r="A175" s="113" t="s">
        <v>157</v>
      </c>
      <c r="G175" s="104"/>
      <c r="H175" s="118">
        <v>-169282042</v>
      </c>
      <c r="I175" s="109">
        <v>-177454903</v>
      </c>
      <c r="J175" s="117">
        <f t="shared" si="19"/>
        <v>0.048279551117418586</v>
      </c>
    </row>
    <row r="176" spans="1:10" ht="9.75">
      <c r="A176" s="113" t="s">
        <v>53</v>
      </c>
      <c r="G176" s="104"/>
      <c r="H176" s="118">
        <v>-104921071</v>
      </c>
      <c r="I176" s="109">
        <v>-103909978</v>
      </c>
      <c r="J176" s="117">
        <f t="shared" si="19"/>
        <v>-0.00963670109696078</v>
      </c>
    </row>
    <row r="177" spans="1:10" ht="9.75">
      <c r="A177" s="113" t="s">
        <v>54</v>
      </c>
      <c r="G177" s="104"/>
      <c r="H177" s="118">
        <v>-22992602</v>
      </c>
      <c r="I177" s="109">
        <v>-23965569</v>
      </c>
      <c r="J177" s="117">
        <f t="shared" si="19"/>
        <v>0.042316524245494265</v>
      </c>
    </row>
    <row r="178" spans="1:10" ht="9.75">
      <c r="A178" s="113" t="s">
        <v>55</v>
      </c>
      <c r="G178" s="104"/>
      <c r="H178" s="118">
        <v>-2790938</v>
      </c>
      <c r="I178" s="109">
        <v>-2990818</v>
      </c>
      <c r="J178" s="117">
        <f t="shared" si="19"/>
        <v>0.07161749920636001</v>
      </c>
    </row>
    <row r="179" spans="1:10" ht="9.75">
      <c r="A179" s="113" t="s">
        <v>56</v>
      </c>
      <c r="G179" s="104"/>
      <c r="H179" s="118">
        <v>-8698044</v>
      </c>
      <c r="I179" s="109">
        <v>-8856228</v>
      </c>
      <c r="J179" s="117">
        <f t="shared" si="19"/>
        <v>0.018186157715458787</v>
      </c>
    </row>
    <row r="180" spans="1:10" ht="9.75">
      <c r="A180" s="113" t="s">
        <v>57</v>
      </c>
      <c r="G180" s="104"/>
      <c r="H180" s="118">
        <v>-148491154</v>
      </c>
      <c r="I180" s="109">
        <v>-151933891</v>
      </c>
      <c r="J180" s="117">
        <f t="shared" si="19"/>
        <v>0.023184795237028058</v>
      </c>
    </row>
    <row r="181" spans="1:10" ht="9.75">
      <c r="A181" s="113" t="s">
        <v>58</v>
      </c>
      <c r="G181" s="104"/>
      <c r="H181" s="109">
        <v>0</v>
      </c>
      <c r="I181" s="109">
        <v>0</v>
      </c>
      <c r="J181" s="117">
        <v>0</v>
      </c>
    </row>
    <row r="182" spans="1:10" ht="10.5" thickBot="1">
      <c r="A182" s="113" t="s">
        <v>59</v>
      </c>
      <c r="G182" s="104"/>
      <c r="H182" s="109">
        <v>0</v>
      </c>
      <c r="I182" s="109">
        <v>0</v>
      </c>
      <c r="J182" s="117">
        <v>0</v>
      </c>
    </row>
    <row r="183" spans="1:10" ht="10.5" thickBot="1">
      <c r="A183" s="250" t="s">
        <v>60</v>
      </c>
      <c r="B183" s="253"/>
      <c r="C183" s="253"/>
      <c r="D183" s="253"/>
      <c r="E183" s="253"/>
      <c r="F183" s="253"/>
      <c r="G183" s="253"/>
      <c r="H183" s="254">
        <f>SUM(H171:H182)</f>
        <v>2625833117</v>
      </c>
      <c r="I183" s="257">
        <f>SUM(I171:I182)</f>
        <v>2642035264</v>
      </c>
      <c r="J183" s="256">
        <f>(I183-H183)/H183</f>
        <v>0.0061702881630615065</v>
      </c>
    </row>
    <row r="184" spans="1:9" ht="9.75">
      <c r="A184" s="121" t="s">
        <v>61</v>
      </c>
      <c r="D184" s="104"/>
      <c r="E184" s="112">
        <v>140772818</v>
      </c>
      <c r="F184" s="118">
        <v>158158872</v>
      </c>
      <c r="G184" s="123">
        <f>(F184-E184)/E184</f>
        <v>0.12350434016316986</v>
      </c>
      <c r="H184" s="124"/>
      <c r="I184" s="125"/>
    </row>
    <row r="185" spans="1:11" ht="9.75">
      <c r="A185" s="121" t="s">
        <v>19</v>
      </c>
      <c r="D185" s="104"/>
      <c r="E185" s="137">
        <v>983309.86</v>
      </c>
      <c r="F185" s="137">
        <v>1140609.75</v>
      </c>
      <c r="G185" s="123">
        <f>(F185-E185)/E185</f>
        <v>0.15996980849963208</v>
      </c>
      <c r="H185" s="124"/>
      <c r="I185" s="125"/>
      <c r="K185" s="130"/>
    </row>
    <row r="186" spans="1:9" ht="9.75">
      <c r="A186" s="121" t="str">
        <f>A148</f>
        <v>2014 Adpoted/2014 Revenue Neutral Tax Rate</v>
      </c>
      <c r="D186" s="104"/>
      <c r="E186" s="141">
        <v>1.04</v>
      </c>
      <c r="F186" s="141">
        <v>1.09301</v>
      </c>
      <c r="G186" s="123">
        <f>(F186-E186)/E186</f>
        <v>0.05097115384615385</v>
      </c>
      <c r="H186" s="112"/>
      <c r="I186" s="108"/>
    </row>
    <row r="187" spans="1:10" ht="9.75">
      <c r="A187" s="121" t="s">
        <v>62</v>
      </c>
      <c r="B187" s="104"/>
      <c r="C187" s="104"/>
      <c r="D187" s="104"/>
      <c r="E187" s="104"/>
      <c r="F187" s="104"/>
      <c r="G187" s="104"/>
      <c r="H187" s="125">
        <f>(H183-E184)*E186/100+E185</f>
        <v>26827936.9696</v>
      </c>
      <c r="I187" s="125">
        <f>(I183-F184)*F186/100+F185</f>
        <v>28289627.1021992</v>
      </c>
      <c r="J187" s="123">
        <f>(I187-H187)/H187</f>
        <v>0.05448388127106125</v>
      </c>
    </row>
    <row r="188" spans="1:10" ht="9.75">
      <c r="A188" s="121" t="s">
        <v>18</v>
      </c>
      <c r="G188" s="104"/>
      <c r="H188" s="108">
        <f>'2019 Certified Estimate'!H192</f>
        <v>12249506</v>
      </c>
      <c r="I188" s="118">
        <v>18962968</v>
      </c>
      <c r="J188" s="123">
        <f>(I188-H188)/H188</f>
        <v>0.5480598156366469</v>
      </c>
    </row>
    <row r="189" spans="1:10" ht="9.75">
      <c r="A189" s="121" t="s">
        <v>17</v>
      </c>
      <c r="G189" s="104"/>
      <c r="H189" s="108">
        <f>'2019 Certified Estimate'!H193</f>
        <v>104706</v>
      </c>
      <c r="I189" s="118">
        <v>92894</v>
      </c>
      <c r="J189" s="123">
        <f>(I189-H189)/H189</f>
        <v>-0.1128111092010009</v>
      </c>
    </row>
    <row r="190" spans="1:10" s="136" customFormat="1" ht="10.5" thickBot="1">
      <c r="A190" s="132"/>
      <c r="H190" s="140"/>
      <c r="I190" s="140"/>
      <c r="J190" s="135"/>
    </row>
    <row r="191" spans="1:11" s="144" customFormat="1" ht="10.5" thickBot="1">
      <c r="A191" s="267" t="s">
        <v>110</v>
      </c>
      <c r="B191" s="95" t="s">
        <v>32</v>
      </c>
      <c r="C191" s="96"/>
      <c r="D191" s="97"/>
      <c r="E191" s="95" t="s">
        <v>33</v>
      </c>
      <c r="F191" s="96"/>
      <c r="G191" s="97"/>
      <c r="H191" s="95" t="s">
        <v>34</v>
      </c>
      <c r="I191" s="96"/>
      <c r="J191" s="97"/>
      <c r="K191" s="99"/>
    </row>
    <row r="192" spans="1:11" s="144" customFormat="1" ht="9.75">
      <c r="A192" s="9" t="s">
        <v>35</v>
      </c>
      <c r="B192" s="101" t="s">
        <v>193</v>
      </c>
      <c r="C192" s="102" t="s">
        <v>188</v>
      </c>
      <c r="D192" s="100" t="s">
        <v>67</v>
      </c>
      <c r="E192" s="101" t="str">
        <f>B192</f>
        <v>2013 Certified</v>
      </c>
      <c r="F192" s="102" t="s">
        <v>188</v>
      </c>
      <c r="G192" s="100" t="s">
        <v>67</v>
      </c>
      <c r="H192" s="101" t="s">
        <v>187</v>
      </c>
      <c r="I192" s="102" t="s">
        <v>189</v>
      </c>
      <c r="J192" s="100" t="s">
        <v>67</v>
      </c>
      <c r="K192" s="207" t="s">
        <v>71</v>
      </c>
    </row>
    <row r="193" spans="1:11" s="144" customFormat="1" ht="9.75">
      <c r="A193" s="9"/>
      <c r="B193" s="103"/>
      <c r="C193" s="104"/>
      <c r="D193" s="105"/>
      <c r="E193" s="103"/>
      <c r="F193" s="104"/>
      <c r="G193" s="105"/>
      <c r="H193" s="103"/>
      <c r="I193" s="104"/>
      <c r="J193" s="105"/>
      <c r="K193" s="106"/>
    </row>
    <row r="194" spans="1:11" s="144" customFormat="1" ht="9.75">
      <c r="A194" s="9" t="s">
        <v>36</v>
      </c>
      <c r="B194" s="107">
        <v>0</v>
      </c>
      <c r="C194" s="108">
        <v>0</v>
      </c>
      <c r="D194" s="105"/>
      <c r="E194" s="108">
        <f>'2019 Certified Estimate'!E199</f>
        <v>0</v>
      </c>
      <c r="F194" s="109">
        <v>0</v>
      </c>
      <c r="G194" s="110" t="e">
        <f aca="true" t="shared" si="20" ref="G194:G205">(F194-E194)/E194</f>
        <v>#DIV/0!</v>
      </c>
      <c r="H194" s="107">
        <f aca="true" t="shared" si="21" ref="H194:I204">B194+E194</f>
        <v>0</v>
      </c>
      <c r="I194" s="108">
        <f t="shared" si="21"/>
        <v>0</v>
      </c>
      <c r="J194" s="110" t="e">
        <f aca="true" t="shared" si="22" ref="J194:J221">(I194-H194)/H194</f>
        <v>#DIV/0!</v>
      </c>
      <c r="K194" s="111">
        <f>I194/I205</f>
        <v>0</v>
      </c>
    </row>
    <row r="195" spans="1:11" s="144" customFormat="1" ht="9.75">
      <c r="A195" s="9" t="s">
        <v>37</v>
      </c>
      <c r="B195" s="107">
        <v>0</v>
      </c>
      <c r="C195" s="108">
        <v>0</v>
      </c>
      <c r="D195" s="105"/>
      <c r="E195" s="108">
        <f>'2019 Certified Estimate'!E200</f>
        <v>0</v>
      </c>
      <c r="F195" s="109">
        <v>0</v>
      </c>
      <c r="G195" s="110">
        <v>0</v>
      </c>
      <c r="H195" s="107">
        <f t="shared" si="21"/>
        <v>0</v>
      </c>
      <c r="I195" s="108">
        <f t="shared" si="21"/>
        <v>0</v>
      </c>
      <c r="J195" s="110">
        <v>0</v>
      </c>
      <c r="K195" s="111">
        <f>I195/I205</f>
        <v>0</v>
      </c>
    </row>
    <row r="196" spans="1:11" s="144" customFormat="1" ht="9.75">
      <c r="A196" s="9" t="s">
        <v>38</v>
      </c>
      <c r="B196" s="107">
        <v>0</v>
      </c>
      <c r="C196" s="108">
        <v>0</v>
      </c>
      <c r="D196" s="105"/>
      <c r="E196" s="108">
        <f>'2019 Certified Estimate'!E201</f>
        <v>0</v>
      </c>
      <c r="F196" s="109">
        <v>0</v>
      </c>
      <c r="G196" s="110" t="e">
        <f t="shared" si="20"/>
        <v>#DIV/0!</v>
      </c>
      <c r="H196" s="107">
        <f t="shared" si="21"/>
        <v>0</v>
      </c>
      <c r="I196" s="108">
        <f t="shared" si="21"/>
        <v>0</v>
      </c>
      <c r="J196" s="110" t="e">
        <f t="shared" si="22"/>
        <v>#DIV/0!</v>
      </c>
      <c r="K196" s="111">
        <f>I196/I205</f>
        <v>0</v>
      </c>
    </row>
    <row r="197" spans="1:11" s="144" customFormat="1" ht="9.75">
      <c r="A197" s="9" t="s">
        <v>39</v>
      </c>
      <c r="B197" s="107">
        <v>0</v>
      </c>
      <c r="C197" s="108">
        <v>0</v>
      </c>
      <c r="D197" s="105"/>
      <c r="E197" s="108">
        <f>'2019 Certified Estimate'!E202</f>
        <v>14048660</v>
      </c>
      <c r="F197" s="109">
        <v>13627220</v>
      </c>
      <c r="G197" s="110">
        <f t="shared" si="20"/>
        <v>-0.02999859061291255</v>
      </c>
      <c r="H197" s="107">
        <f t="shared" si="21"/>
        <v>14048660</v>
      </c>
      <c r="I197" s="108">
        <f t="shared" si="21"/>
        <v>13627220</v>
      </c>
      <c r="J197" s="110">
        <f t="shared" si="22"/>
        <v>-0.02999859061291255</v>
      </c>
      <c r="K197" s="111">
        <f>I197/I205</f>
        <v>0.8792628428889063</v>
      </c>
    </row>
    <row r="198" spans="1:11" s="144" customFormat="1" ht="9.75">
      <c r="A198" s="9" t="s">
        <v>40</v>
      </c>
      <c r="B198" s="107">
        <v>0</v>
      </c>
      <c r="C198" s="108">
        <v>0</v>
      </c>
      <c r="D198" s="110"/>
      <c r="E198" s="108">
        <f>'2019 Certified Estimate'!E203</f>
        <v>74140</v>
      </c>
      <c r="F198" s="109">
        <v>323110</v>
      </c>
      <c r="G198" s="110">
        <f t="shared" si="20"/>
        <v>3.358106285405989</v>
      </c>
      <c r="H198" s="107">
        <f t="shared" si="21"/>
        <v>74140</v>
      </c>
      <c r="I198" s="108">
        <f t="shared" si="21"/>
        <v>323110</v>
      </c>
      <c r="J198" s="110">
        <f t="shared" si="22"/>
        <v>3.358106285405989</v>
      </c>
      <c r="K198" s="111">
        <f>I198/I205</f>
        <v>0.020847877789148084</v>
      </c>
    </row>
    <row r="199" spans="1:11" s="144" customFormat="1" ht="9.75">
      <c r="A199" s="9" t="s">
        <v>41</v>
      </c>
      <c r="B199" s="107">
        <f>'2019 Certified Estimate'!B204</f>
        <v>9320</v>
      </c>
      <c r="C199" s="109">
        <v>234790</v>
      </c>
      <c r="D199" s="110">
        <f>(C199-B199)/B199</f>
        <v>24.19206008583691</v>
      </c>
      <c r="E199" s="108">
        <f>'2019 Certified Estimate'!E204</f>
        <v>0</v>
      </c>
      <c r="F199" s="109">
        <v>0</v>
      </c>
      <c r="G199" s="110">
        <v>0</v>
      </c>
      <c r="H199" s="107">
        <f t="shared" si="21"/>
        <v>9320</v>
      </c>
      <c r="I199" s="108">
        <f t="shared" si="21"/>
        <v>234790</v>
      </c>
      <c r="J199" s="110">
        <f t="shared" si="22"/>
        <v>24.19206008583691</v>
      </c>
      <c r="K199" s="111">
        <f>I199/I205</f>
        <v>0.015149247086484722</v>
      </c>
    </row>
    <row r="200" spans="1:11" s="144" customFormat="1" ht="9.75">
      <c r="A200" s="9" t="s">
        <v>42</v>
      </c>
      <c r="B200" s="107">
        <f>'2019 Certified Estimate'!B205</f>
        <v>1277700</v>
      </c>
      <c r="C200" s="109">
        <v>1076810</v>
      </c>
      <c r="D200" s="110">
        <f>(C200-B200)/B200</f>
        <v>-0.15722783125929404</v>
      </c>
      <c r="E200" s="108">
        <f>'2019 Certified Estimate'!E205</f>
        <v>0</v>
      </c>
      <c r="F200" s="109">
        <v>0</v>
      </c>
      <c r="G200" s="110">
        <v>0</v>
      </c>
      <c r="H200" s="107">
        <f t="shared" si="21"/>
        <v>1277700</v>
      </c>
      <c r="I200" s="108">
        <f t="shared" si="21"/>
        <v>1076810</v>
      </c>
      <c r="J200" s="110">
        <f t="shared" si="22"/>
        <v>-0.15722783125929404</v>
      </c>
      <c r="K200" s="111">
        <f>I200/I205</f>
        <v>0.06947851592996981</v>
      </c>
    </row>
    <row r="201" spans="1:11" s="144" customFormat="1" ht="9.75">
      <c r="A201" s="9" t="s">
        <v>43</v>
      </c>
      <c r="B201" s="107">
        <f>'2019 Certified Estimate'!B206</f>
        <v>0</v>
      </c>
      <c r="C201" s="109">
        <v>5460</v>
      </c>
      <c r="D201" s="110" t="e">
        <f>(C201-B201)/B201</f>
        <v>#DIV/0!</v>
      </c>
      <c r="E201" s="108">
        <f>'2019 Certified Estimate'!E206</f>
        <v>0</v>
      </c>
      <c r="F201" s="109">
        <v>1500</v>
      </c>
      <c r="G201" s="110" t="e">
        <f t="shared" si="20"/>
        <v>#DIV/0!</v>
      </c>
      <c r="H201" s="107">
        <f t="shared" si="21"/>
        <v>0</v>
      </c>
      <c r="I201" s="108">
        <f t="shared" si="21"/>
        <v>6960</v>
      </c>
      <c r="J201" s="110" t="e">
        <f t="shared" si="22"/>
        <v>#DIV/0!</v>
      </c>
      <c r="K201" s="111">
        <f>I201/I205</f>
        <v>0.0004490768760251019</v>
      </c>
    </row>
    <row r="202" spans="1:11" s="144" customFormat="1" ht="9.75">
      <c r="A202" s="9" t="s">
        <v>44</v>
      </c>
      <c r="B202" s="107">
        <v>0</v>
      </c>
      <c r="C202" s="108">
        <v>0</v>
      </c>
      <c r="D202" s="110"/>
      <c r="E202" s="108">
        <f>'2019 Certified Estimate'!E207</f>
        <v>315260</v>
      </c>
      <c r="F202" s="109">
        <v>162060</v>
      </c>
      <c r="G202" s="110">
        <f t="shared" si="20"/>
        <v>-0.4859481063249381</v>
      </c>
      <c r="H202" s="107">
        <f t="shared" si="21"/>
        <v>315260</v>
      </c>
      <c r="I202" s="108">
        <f t="shared" si="21"/>
        <v>162060</v>
      </c>
      <c r="J202" s="110">
        <f t="shared" si="22"/>
        <v>-0.4859481063249381</v>
      </c>
      <c r="K202" s="111">
        <f>I202/I205</f>
        <v>0.010456522777101724</v>
      </c>
    </row>
    <row r="203" spans="1:11" s="144" customFormat="1" ht="9.75">
      <c r="A203" s="9" t="s">
        <v>45</v>
      </c>
      <c r="B203" s="107">
        <v>0</v>
      </c>
      <c r="C203" s="108">
        <v>0</v>
      </c>
      <c r="D203" s="110"/>
      <c r="E203" s="108">
        <f>'2019 Certified Estimate'!E208</f>
        <v>0</v>
      </c>
      <c r="F203" s="109">
        <v>0</v>
      </c>
      <c r="G203" s="110">
        <v>0</v>
      </c>
      <c r="H203" s="107">
        <f t="shared" si="21"/>
        <v>0</v>
      </c>
      <c r="I203" s="108">
        <f t="shared" si="21"/>
        <v>0</v>
      </c>
      <c r="J203" s="110">
        <v>0</v>
      </c>
      <c r="K203" s="111">
        <f>I203/I205</f>
        <v>0</v>
      </c>
    </row>
    <row r="204" spans="1:11" s="144" customFormat="1" ht="10.5" thickBot="1">
      <c r="A204" s="9" t="s">
        <v>46</v>
      </c>
      <c r="B204" s="107">
        <v>0</v>
      </c>
      <c r="C204" s="108">
        <v>0</v>
      </c>
      <c r="D204" s="110"/>
      <c r="E204" s="108">
        <f>'2019 Certified Estimate'!E209</f>
        <v>64280</v>
      </c>
      <c r="F204" s="109">
        <v>67510</v>
      </c>
      <c r="G204" s="110">
        <f t="shared" si="20"/>
        <v>0.050248911014312385</v>
      </c>
      <c r="H204" s="107">
        <f t="shared" si="21"/>
        <v>64280</v>
      </c>
      <c r="I204" s="108">
        <f t="shared" si="21"/>
        <v>67510</v>
      </c>
      <c r="J204" s="110">
        <f t="shared" si="22"/>
        <v>0.050248911014312385</v>
      </c>
      <c r="K204" s="111">
        <f>I204/I205</f>
        <v>0.00435591665236417</v>
      </c>
    </row>
    <row r="205" spans="1:11" s="144" customFormat="1" ht="10.5" thickBot="1">
      <c r="A205" s="250" t="s">
        <v>47</v>
      </c>
      <c r="B205" s="259">
        <f>SUM(B194:B204)</f>
        <v>1287020</v>
      </c>
      <c r="C205" s="260">
        <f>SUM(C194:C204)</f>
        <v>1317060</v>
      </c>
      <c r="D205" s="256">
        <f>(C205-B205)/B205</f>
        <v>0.023340740625631302</v>
      </c>
      <c r="E205" s="259">
        <f>SUM(E194:E204)</f>
        <v>14502340</v>
      </c>
      <c r="F205" s="260">
        <f>SUM(F194:F204)</f>
        <v>14181400</v>
      </c>
      <c r="G205" s="256">
        <f t="shared" si="20"/>
        <v>-0.022130221743525528</v>
      </c>
      <c r="H205" s="263">
        <f>SUM(H194:H204)</f>
        <v>15789360</v>
      </c>
      <c r="I205" s="257">
        <f>SUM(I194:I204)</f>
        <v>15498460</v>
      </c>
      <c r="J205" s="256">
        <f t="shared" si="22"/>
        <v>-0.018423799318021756</v>
      </c>
      <c r="K205" s="261">
        <f>SUM(K194:K204)</f>
        <v>0.9999999999999999</v>
      </c>
    </row>
    <row r="206" spans="1:11" s="144" customFormat="1" ht="9.75">
      <c r="A206" s="113" t="str">
        <f>A54</f>
        <v>Less Minimum Value Loss</v>
      </c>
      <c r="B206" s="9"/>
      <c r="C206" s="9"/>
      <c r="D206" s="9"/>
      <c r="E206" s="9"/>
      <c r="F206" s="9"/>
      <c r="G206" s="9"/>
      <c r="H206" s="108">
        <f>'2019 Certified Estimate'!H211</f>
        <v>0</v>
      </c>
      <c r="I206" s="118">
        <v>0</v>
      </c>
      <c r="J206" s="117">
        <v>0</v>
      </c>
      <c r="K206" s="9"/>
    </row>
    <row r="207" spans="1:11" s="144" customFormat="1" ht="9.75">
      <c r="A207" s="113" t="s">
        <v>174</v>
      </c>
      <c r="B207" s="9"/>
      <c r="C207" s="9"/>
      <c r="D207" s="9"/>
      <c r="E207" s="9"/>
      <c r="F207" s="9"/>
      <c r="G207" s="9"/>
      <c r="H207" s="108">
        <f>'2019 Certified Estimate'!H212</f>
        <v>-3780</v>
      </c>
      <c r="I207" s="109">
        <v>-14110</v>
      </c>
      <c r="J207" s="117">
        <f t="shared" si="22"/>
        <v>2.732804232804233</v>
      </c>
      <c r="K207" s="9"/>
    </row>
    <row r="208" spans="1:11" s="144" customFormat="1" ht="10.5" thickBot="1">
      <c r="A208" s="113" t="s">
        <v>49</v>
      </c>
      <c r="B208" s="9"/>
      <c r="C208" s="114"/>
      <c r="D208" s="9"/>
      <c r="E208" s="9"/>
      <c r="F208" s="9"/>
      <c r="G208" s="9"/>
      <c r="H208" s="108">
        <f>'2019 Certified Estimate'!H213</f>
        <v>-6981390</v>
      </c>
      <c r="I208" s="109">
        <v>-7550120</v>
      </c>
      <c r="J208" s="126">
        <f t="shared" si="22"/>
        <v>0.08146371997553496</v>
      </c>
      <c r="K208" s="9"/>
    </row>
    <row r="209" spans="1:11" s="144" customFormat="1" ht="10.5" thickBot="1">
      <c r="A209" s="250" t="s">
        <v>50</v>
      </c>
      <c r="B209" s="253"/>
      <c r="C209" s="253"/>
      <c r="D209" s="253"/>
      <c r="E209" s="253"/>
      <c r="F209" s="253"/>
      <c r="G209" s="253"/>
      <c r="H209" s="254">
        <f>SUM(H205:H208)</f>
        <v>8804190</v>
      </c>
      <c r="I209" s="257">
        <f>SUM(I205:I208)</f>
        <v>7934230</v>
      </c>
      <c r="J209" s="256">
        <f t="shared" si="22"/>
        <v>-0.09881204290229993</v>
      </c>
      <c r="K209" s="9"/>
    </row>
    <row r="210" spans="1:11" s="144" customFormat="1" ht="9.75">
      <c r="A210" s="113" t="s">
        <v>127</v>
      </c>
      <c r="B210" s="9"/>
      <c r="C210" s="9"/>
      <c r="D210" s="9"/>
      <c r="E210" s="9"/>
      <c r="F210" s="9"/>
      <c r="G210" s="9"/>
      <c r="H210" s="108">
        <f>'2019 Certified Estimate'!H215</f>
        <v>-1170</v>
      </c>
      <c r="I210" s="109">
        <v>-4430</v>
      </c>
      <c r="J210" s="117">
        <f t="shared" si="22"/>
        <v>2.786324786324786</v>
      </c>
      <c r="K210" s="9"/>
    </row>
    <row r="211" spans="1:11" s="144" customFormat="1" ht="9.75">
      <c r="A211" s="113" t="s">
        <v>78</v>
      </c>
      <c r="B211" s="9"/>
      <c r="C211" s="9"/>
      <c r="D211" s="9"/>
      <c r="E211" s="9"/>
      <c r="F211" s="9"/>
      <c r="G211" s="9"/>
      <c r="H211" s="108">
        <f>'2019 Certified Estimate'!H216</f>
        <v>0</v>
      </c>
      <c r="I211" s="109">
        <v>0</v>
      </c>
      <c r="J211" s="117">
        <v>0</v>
      </c>
      <c r="K211" s="9"/>
    </row>
    <row r="212" spans="1:11" s="144" customFormat="1" ht="9.75">
      <c r="A212" s="113" t="s">
        <v>128</v>
      </c>
      <c r="B212" s="9"/>
      <c r="C212" s="9"/>
      <c r="D212" s="9"/>
      <c r="E212" s="9"/>
      <c r="F212" s="9"/>
      <c r="G212" s="9"/>
      <c r="H212" s="108">
        <f>'2019 Certified Estimate'!H217</f>
        <v>0</v>
      </c>
      <c r="I212" s="109">
        <v>0</v>
      </c>
      <c r="J212" s="117">
        <v>0</v>
      </c>
      <c r="K212" s="9"/>
    </row>
    <row r="213" spans="1:11" s="144" customFormat="1" ht="9.75">
      <c r="A213" s="113" t="s">
        <v>157</v>
      </c>
      <c r="B213" s="9"/>
      <c r="C213" s="9"/>
      <c r="D213" s="9"/>
      <c r="E213" s="9"/>
      <c r="F213" s="9"/>
      <c r="G213" s="9"/>
      <c r="H213" s="108">
        <f>'2019 Certified Estimate'!H218</f>
        <v>-64280</v>
      </c>
      <c r="I213" s="109">
        <v>-67510</v>
      </c>
      <c r="J213" s="117">
        <f t="shared" si="22"/>
        <v>0.050248911014312385</v>
      </c>
      <c r="K213" s="9"/>
    </row>
    <row r="214" spans="1:11" s="144" customFormat="1" ht="9.75">
      <c r="A214" s="113" t="s">
        <v>53</v>
      </c>
      <c r="B214" s="9"/>
      <c r="C214" s="9"/>
      <c r="D214" s="9"/>
      <c r="E214" s="9"/>
      <c r="F214" s="9"/>
      <c r="G214" s="9"/>
      <c r="H214" s="108">
        <f>'2019 Certified Estimate'!H219</f>
        <v>-844380</v>
      </c>
      <c r="I214" s="109">
        <v>-475740</v>
      </c>
      <c r="J214" s="117">
        <f t="shared" si="22"/>
        <v>-0.4365806864208058</v>
      </c>
      <c r="K214" s="9"/>
    </row>
    <row r="215" spans="1:11" s="144" customFormat="1" ht="9.75">
      <c r="A215" s="113" t="s">
        <v>54</v>
      </c>
      <c r="B215" s="9"/>
      <c r="C215" s="9"/>
      <c r="D215" s="9"/>
      <c r="E215" s="9"/>
      <c r="F215" s="9"/>
      <c r="G215" s="9"/>
      <c r="H215" s="108">
        <f>'2019 Certified Estimate'!H220</f>
        <v>-130760</v>
      </c>
      <c r="I215" s="109">
        <v>-120000</v>
      </c>
      <c r="J215" s="117">
        <f t="shared" si="22"/>
        <v>-0.08228816151728358</v>
      </c>
      <c r="K215" s="9"/>
    </row>
    <row r="216" spans="1:11" s="144" customFormat="1" ht="9.75">
      <c r="A216" s="113" t="s">
        <v>55</v>
      </c>
      <c r="B216" s="9"/>
      <c r="C216" s="9"/>
      <c r="D216" s="9"/>
      <c r="E216" s="9"/>
      <c r="F216" s="9"/>
      <c r="G216" s="9"/>
      <c r="H216" s="108">
        <f>'2019 Certified Estimate'!H221</f>
        <v>-10000</v>
      </c>
      <c r="I216" s="109">
        <v>-10000</v>
      </c>
      <c r="J216" s="117">
        <v>0</v>
      </c>
      <c r="K216" s="9"/>
    </row>
    <row r="217" spans="1:11" s="144" customFormat="1" ht="9.75">
      <c r="A217" s="113" t="s">
        <v>56</v>
      </c>
      <c r="B217" s="9"/>
      <c r="C217" s="9"/>
      <c r="D217" s="9"/>
      <c r="E217" s="9"/>
      <c r="F217" s="9"/>
      <c r="G217" s="9"/>
      <c r="H217" s="108">
        <f>'2019 Certified Estimate'!H222</f>
        <v>-12000</v>
      </c>
      <c r="I217" s="109">
        <v>-24000</v>
      </c>
      <c r="J217" s="117">
        <v>0</v>
      </c>
      <c r="K217" s="9"/>
    </row>
    <row r="218" spans="1:11" s="144" customFormat="1" ht="9.75">
      <c r="A218" s="113" t="s">
        <v>57</v>
      </c>
      <c r="B218" s="9"/>
      <c r="C218" s="9"/>
      <c r="D218" s="9"/>
      <c r="E218" s="9"/>
      <c r="F218" s="9"/>
      <c r="G218" s="9"/>
      <c r="H218" s="108">
        <f>'2019 Certified Estimate'!H223</f>
        <v>0</v>
      </c>
      <c r="I218" s="109">
        <v>0</v>
      </c>
      <c r="J218" s="117">
        <v>0</v>
      </c>
      <c r="K218" s="9"/>
    </row>
    <row r="219" spans="1:11" s="144" customFormat="1" ht="9.75">
      <c r="A219" s="113" t="s">
        <v>58</v>
      </c>
      <c r="B219" s="9"/>
      <c r="C219" s="9"/>
      <c r="D219" s="9"/>
      <c r="E219" s="9"/>
      <c r="F219" s="9"/>
      <c r="G219" s="9"/>
      <c r="H219" s="108">
        <f>'2019 Certified Estimate'!H224</f>
        <v>0</v>
      </c>
      <c r="I219" s="109">
        <v>0</v>
      </c>
      <c r="J219" s="117">
        <v>0</v>
      </c>
      <c r="K219" s="9"/>
    </row>
    <row r="220" spans="1:11" s="144" customFormat="1" ht="10.5" thickBot="1">
      <c r="A220" s="113" t="s">
        <v>59</v>
      </c>
      <c r="B220" s="9"/>
      <c r="C220" s="9"/>
      <c r="D220" s="9"/>
      <c r="E220" s="9"/>
      <c r="F220" s="9"/>
      <c r="G220" s="9"/>
      <c r="H220" s="108">
        <f>'2019 Certified Estimate'!H225</f>
        <v>0</v>
      </c>
      <c r="I220" s="109">
        <v>0</v>
      </c>
      <c r="J220" s="126">
        <v>0</v>
      </c>
      <c r="K220" s="9"/>
    </row>
    <row r="221" spans="1:11" s="144" customFormat="1" ht="10.5" thickBot="1">
      <c r="A221" s="250" t="s">
        <v>60</v>
      </c>
      <c r="B221" s="253"/>
      <c r="C221" s="253"/>
      <c r="D221" s="253"/>
      <c r="E221" s="253"/>
      <c r="F221" s="253"/>
      <c r="G221" s="253"/>
      <c r="H221" s="254">
        <f>SUM(H209:H220)</f>
        <v>7741600</v>
      </c>
      <c r="I221" s="257">
        <f>SUM(I209:I220)</f>
        <v>7232550</v>
      </c>
      <c r="J221" s="256">
        <f t="shared" si="22"/>
        <v>-0.06575514105611244</v>
      </c>
      <c r="K221" s="9"/>
    </row>
    <row r="222" spans="1:11" s="144" customFormat="1" ht="9.75">
      <c r="A222" s="121" t="s">
        <v>61</v>
      </c>
      <c r="B222" s="9"/>
      <c r="C222" s="9"/>
      <c r="D222" s="9"/>
      <c r="E222" s="108">
        <f>'2019 Certified Estimate'!E227</f>
        <v>1636550</v>
      </c>
      <c r="F222" s="118">
        <v>1574640</v>
      </c>
      <c r="G222" s="123">
        <f>(F222-E222)/E222</f>
        <v>-0.03782958051999633</v>
      </c>
      <c r="H222" s="124"/>
      <c r="I222" s="125"/>
      <c r="J222" s="9"/>
      <c r="K222" s="9"/>
    </row>
    <row r="223" spans="1:11" s="144" customFormat="1" ht="9.75">
      <c r="A223" s="121" t="s">
        <v>19</v>
      </c>
      <c r="B223" s="9"/>
      <c r="C223" s="9"/>
      <c r="D223" s="9"/>
      <c r="E223" s="127">
        <f>'2019 Certified Estimate'!E228</f>
        <v>11619.98</v>
      </c>
      <c r="F223" s="137">
        <v>9667.01</v>
      </c>
      <c r="G223" s="123">
        <f>(F223-E223)/E223</f>
        <v>-0.16806999667813538</v>
      </c>
      <c r="H223" s="124"/>
      <c r="I223" s="125"/>
      <c r="J223" s="9"/>
      <c r="K223" s="130"/>
    </row>
    <row r="224" spans="1:11" s="144" customFormat="1" ht="9.75">
      <c r="A224" s="121"/>
      <c r="B224" s="9"/>
      <c r="C224" s="9"/>
      <c r="D224" s="9"/>
      <c r="E224" s="143"/>
      <c r="F224" s="141"/>
      <c r="G224" s="123"/>
      <c r="H224" s="112"/>
      <c r="I224" s="108"/>
      <c r="J224" s="9"/>
      <c r="K224" s="9"/>
    </row>
    <row r="225" spans="1:11" s="144" customFormat="1" ht="9.75">
      <c r="A225" s="121"/>
      <c r="B225" s="104"/>
      <c r="C225" s="104"/>
      <c r="D225" s="104"/>
      <c r="E225" s="104"/>
      <c r="F225" s="104"/>
      <c r="G225" s="104"/>
      <c r="H225" s="125"/>
      <c r="I225" s="125"/>
      <c r="J225" s="123"/>
      <c r="K225" s="9"/>
    </row>
    <row r="226" spans="1:11" s="144" customFormat="1" ht="9.75">
      <c r="A226" s="121" t="s">
        <v>18</v>
      </c>
      <c r="B226" s="9"/>
      <c r="C226" s="9"/>
      <c r="D226" s="9"/>
      <c r="E226" s="9"/>
      <c r="F226" s="9"/>
      <c r="G226" s="9"/>
      <c r="H226" s="108">
        <f>'2019 Certified Estimate'!H231</f>
        <v>190650</v>
      </c>
      <c r="I226" s="118">
        <v>56150</v>
      </c>
      <c r="J226" s="123">
        <f>(I226-H226)/H226</f>
        <v>-0.7054812483608707</v>
      </c>
      <c r="K226" s="9"/>
    </row>
    <row r="227" spans="1:11" s="144" customFormat="1" ht="9.75">
      <c r="A227" s="121" t="s">
        <v>17</v>
      </c>
      <c r="B227" s="9"/>
      <c r="C227" s="9"/>
      <c r="D227" s="9"/>
      <c r="E227" s="9"/>
      <c r="F227" s="9"/>
      <c r="G227" s="9"/>
      <c r="H227" s="108">
        <f>'2019 Certified Estimate'!H232</f>
        <v>143</v>
      </c>
      <c r="I227" s="118">
        <v>209</v>
      </c>
      <c r="J227" s="123">
        <f>(I227-H227)/H227</f>
        <v>0.46153846153846156</v>
      </c>
      <c r="K227" s="9"/>
    </row>
    <row r="228" spans="1:10" s="136" customFormat="1" ht="10.5" thickBot="1">
      <c r="A228" s="132"/>
      <c r="H228" s="140"/>
      <c r="I228" s="140"/>
      <c r="J228" s="135"/>
    </row>
    <row r="229" spans="1:11" s="144" customFormat="1" ht="10.5" thickBot="1">
      <c r="A229" s="267" t="s">
        <v>111</v>
      </c>
      <c r="B229" s="95" t="s">
        <v>32</v>
      </c>
      <c r="C229" s="96"/>
      <c r="D229" s="97"/>
      <c r="E229" s="95" t="s">
        <v>33</v>
      </c>
      <c r="F229" s="96"/>
      <c r="G229" s="97"/>
      <c r="H229" s="95" t="s">
        <v>34</v>
      </c>
      <c r="I229" s="96"/>
      <c r="J229" s="97"/>
      <c r="K229" s="99"/>
    </row>
    <row r="230" spans="1:11" s="144" customFormat="1" ht="9.75">
      <c r="A230" s="9" t="s">
        <v>35</v>
      </c>
      <c r="B230" s="101" t="s">
        <v>193</v>
      </c>
      <c r="C230" s="102" t="s">
        <v>188</v>
      </c>
      <c r="D230" s="100" t="s">
        <v>67</v>
      </c>
      <c r="E230" s="101" t="str">
        <f>B230</f>
        <v>2013 Certified</v>
      </c>
      <c r="F230" s="102" t="s">
        <v>188</v>
      </c>
      <c r="G230" s="100" t="s">
        <v>67</v>
      </c>
      <c r="H230" s="101" t="s">
        <v>187</v>
      </c>
      <c r="I230" s="102" t="s">
        <v>189</v>
      </c>
      <c r="J230" s="100" t="s">
        <v>67</v>
      </c>
      <c r="K230" s="207" t="s">
        <v>71</v>
      </c>
    </row>
    <row r="231" spans="1:11" s="144" customFormat="1" ht="9.75">
      <c r="A231" s="9"/>
      <c r="B231" s="103"/>
      <c r="C231" s="104"/>
      <c r="D231" s="105"/>
      <c r="E231" s="103"/>
      <c r="F231" s="104"/>
      <c r="G231" s="105"/>
      <c r="H231" s="103"/>
      <c r="I231" s="104"/>
      <c r="J231" s="105"/>
      <c r="K231" s="106"/>
    </row>
    <row r="232" spans="1:11" s="144" customFormat="1" ht="9.75">
      <c r="A232" s="9" t="s">
        <v>36</v>
      </c>
      <c r="B232" s="107">
        <v>0</v>
      </c>
      <c r="C232" s="108">
        <v>0</v>
      </c>
      <c r="D232" s="105"/>
      <c r="E232" s="108">
        <f>'2019 Certified Estimate'!E238</f>
        <v>474450</v>
      </c>
      <c r="F232" s="109">
        <v>530850</v>
      </c>
      <c r="G232" s="110">
        <f aca="true" t="shared" si="23" ref="G232:G243">(F232-E232)/E232</f>
        <v>0.11887448624723364</v>
      </c>
      <c r="H232" s="107">
        <f aca="true" t="shared" si="24" ref="H232:I242">B232+E232</f>
        <v>474450</v>
      </c>
      <c r="I232" s="108">
        <f t="shared" si="24"/>
        <v>530850</v>
      </c>
      <c r="J232" s="110">
        <f aca="true" t="shared" si="25" ref="J232:J259">(I232-H232)/H232</f>
        <v>0.11887448624723364</v>
      </c>
      <c r="K232" s="111">
        <f>I232/I243</f>
        <v>0.13971501663368005</v>
      </c>
    </row>
    <row r="233" spans="1:11" s="144" customFormat="1" ht="9.75">
      <c r="A233" s="9" t="s">
        <v>37</v>
      </c>
      <c r="B233" s="107">
        <v>0</v>
      </c>
      <c r="C233" s="108">
        <v>0</v>
      </c>
      <c r="D233" s="105"/>
      <c r="E233" s="108">
        <f>'2019 Certified Estimate'!E239</f>
        <v>0</v>
      </c>
      <c r="F233" s="109">
        <v>0</v>
      </c>
      <c r="G233" s="110">
        <v>0</v>
      </c>
      <c r="H233" s="107">
        <f t="shared" si="24"/>
        <v>0</v>
      </c>
      <c r="I233" s="108">
        <f t="shared" si="24"/>
        <v>0</v>
      </c>
      <c r="J233" s="110">
        <v>0</v>
      </c>
      <c r="K233" s="111">
        <f>I233/I243</f>
        <v>0</v>
      </c>
    </row>
    <row r="234" spans="1:11" s="144" customFormat="1" ht="9.75">
      <c r="A234" s="9" t="s">
        <v>38</v>
      </c>
      <c r="B234" s="107">
        <v>0</v>
      </c>
      <c r="C234" s="108">
        <v>0</v>
      </c>
      <c r="D234" s="105"/>
      <c r="E234" s="108">
        <f>'2019 Certified Estimate'!E240</f>
        <v>68260</v>
      </c>
      <c r="F234" s="109">
        <v>69570</v>
      </c>
      <c r="G234" s="110">
        <f t="shared" si="23"/>
        <v>0.019191327278054497</v>
      </c>
      <c r="H234" s="107">
        <f t="shared" si="24"/>
        <v>68260</v>
      </c>
      <c r="I234" s="108">
        <f t="shared" si="24"/>
        <v>69570</v>
      </c>
      <c r="J234" s="110">
        <f t="shared" si="25"/>
        <v>0.019191327278054497</v>
      </c>
      <c r="K234" s="111">
        <f>I234/I243</f>
        <v>0.01831020760517118</v>
      </c>
    </row>
    <row r="235" spans="1:11" s="144" customFormat="1" ht="9.75">
      <c r="A235" s="9" t="s">
        <v>39</v>
      </c>
      <c r="B235" s="107">
        <v>0</v>
      </c>
      <c r="C235" s="108">
        <v>0</v>
      </c>
      <c r="D235" s="105"/>
      <c r="E235" s="108">
        <f>'2019 Certified Estimate'!E241</f>
        <v>3374510</v>
      </c>
      <c r="F235" s="109">
        <v>3021030</v>
      </c>
      <c r="G235" s="110">
        <f t="shared" si="23"/>
        <v>-0.10475002296629733</v>
      </c>
      <c r="H235" s="107">
        <f t="shared" si="24"/>
        <v>3374510</v>
      </c>
      <c r="I235" s="108">
        <f t="shared" si="24"/>
        <v>3021030</v>
      </c>
      <c r="J235" s="110">
        <f t="shared" si="25"/>
        <v>-0.10475002296629733</v>
      </c>
      <c r="K235" s="111">
        <f>I235/I243</f>
        <v>0.7951083294731967</v>
      </c>
    </row>
    <row r="236" spans="1:11" s="144" customFormat="1" ht="9.75">
      <c r="A236" s="9" t="s">
        <v>40</v>
      </c>
      <c r="B236" s="107">
        <v>0</v>
      </c>
      <c r="C236" s="108">
        <v>0</v>
      </c>
      <c r="D236" s="110"/>
      <c r="E236" s="108">
        <f>'2019 Certified Estimate'!E242</f>
        <v>0</v>
      </c>
      <c r="F236" s="109">
        <v>0</v>
      </c>
      <c r="G236" s="110">
        <v>0</v>
      </c>
      <c r="H236" s="107">
        <f t="shared" si="24"/>
        <v>0</v>
      </c>
      <c r="I236" s="108">
        <f t="shared" si="24"/>
        <v>0</v>
      </c>
      <c r="J236" s="110">
        <v>0</v>
      </c>
      <c r="K236" s="111">
        <f>I236/I243</f>
        <v>0</v>
      </c>
    </row>
    <row r="237" spans="1:11" s="144" customFormat="1" ht="9.75">
      <c r="A237" s="9" t="s">
        <v>41</v>
      </c>
      <c r="B237" s="107">
        <f>'2019 Certified Estimate'!B243</f>
        <v>0</v>
      </c>
      <c r="C237" s="109">
        <v>570</v>
      </c>
      <c r="D237" s="110" t="e">
        <f>(C237-B237)/B237</f>
        <v>#DIV/0!</v>
      </c>
      <c r="E237" s="108">
        <f>'2019 Certified Estimate'!E243</f>
        <v>0</v>
      </c>
      <c r="F237" s="109">
        <v>0</v>
      </c>
      <c r="G237" s="110">
        <v>0</v>
      </c>
      <c r="H237" s="107">
        <f t="shared" si="24"/>
        <v>0</v>
      </c>
      <c r="I237" s="108">
        <f t="shared" si="24"/>
        <v>570</v>
      </c>
      <c r="J237" s="110">
        <v>0</v>
      </c>
      <c r="K237" s="111">
        <f>I237/I243</f>
        <v>0.00015001894976207522</v>
      </c>
    </row>
    <row r="238" spans="1:11" s="144" customFormat="1" ht="9.75">
      <c r="A238" s="9" t="s">
        <v>42</v>
      </c>
      <c r="B238" s="107">
        <f>'2019 Certified Estimate'!B244</f>
        <v>138780</v>
      </c>
      <c r="C238" s="109">
        <v>96080</v>
      </c>
      <c r="D238" s="110">
        <f>(C238-B238)/B238</f>
        <v>-0.3076812220781092</v>
      </c>
      <c r="E238" s="108">
        <f>'2019 Certified Estimate'!E244</f>
        <v>0</v>
      </c>
      <c r="F238" s="109">
        <v>0</v>
      </c>
      <c r="G238" s="110">
        <v>0</v>
      </c>
      <c r="H238" s="107">
        <f t="shared" si="24"/>
        <v>138780</v>
      </c>
      <c r="I238" s="108">
        <f t="shared" si="24"/>
        <v>96080</v>
      </c>
      <c r="J238" s="110">
        <f t="shared" si="25"/>
        <v>-0.3076812220781092</v>
      </c>
      <c r="K238" s="111">
        <f>I238/I243</f>
        <v>0.025287404724807346</v>
      </c>
    </row>
    <row r="239" spans="1:11" s="144" customFormat="1" ht="9.75">
      <c r="A239" s="9" t="s">
        <v>43</v>
      </c>
      <c r="B239" s="107">
        <f>'2019 Certified Estimate'!B245</f>
        <v>0</v>
      </c>
      <c r="C239" s="109">
        <v>0</v>
      </c>
      <c r="D239" s="110"/>
      <c r="E239" s="108">
        <f>'2019 Certified Estimate'!E245</f>
        <v>400</v>
      </c>
      <c r="F239" s="109">
        <v>0</v>
      </c>
      <c r="G239" s="110">
        <v>0</v>
      </c>
      <c r="H239" s="107">
        <f t="shared" si="24"/>
        <v>400</v>
      </c>
      <c r="I239" s="108">
        <f t="shared" si="24"/>
        <v>0</v>
      </c>
      <c r="J239" s="110">
        <v>0</v>
      </c>
      <c r="K239" s="111">
        <f>I239/I243</f>
        <v>0</v>
      </c>
    </row>
    <row r="240" spans="1:11" s="144" customFormat="1" ht="9.75">
      <c r="A240" s="9" t="s">
        <v>44</v>
      </c>
      <c r="B240" s="107">
        <v>0</v>
      </c>
      <c r="C240" s="108">
        <v>0</v>
      </c>
      <c r="D240" s="110"/>
      <c r="E240" s="108">
        <f>'2019 Certified Estimate'!E246</f>
        <v>64650</v>
      </c>
      <c r="F240" s="109">
        <v>81420</v>
      </c>
      <c r="G240" s="110">
        <f t="shared" si="23"/>
        <v>0.2593967517401392</v>
      </c>
      <c r="H240" s="107">
        <f t="shared" si="24"/>
        <v>64650</v>
      </c>
      <c r="I240" s="108">
        <f t="shared" si="24"/>
        <v>81420</v>
      </c>
      <c r="J240" s="110">
        <f t="shared" si="25"/>
        <v>0.2593967517401392</v>
      </c>
      <c r="K240" s="111">
        <f>I240/I243</f>
        <v>0.021429022613382743</v>
      </c>
    </row>
    <row r="241" spans="1:11" s="144" customFormat="1" ht="9.75">
      <c r="A241" s="9" t="s">
        <v>45</v>
      </c>
      <c r="B241" s="107">
        <v>0</v>
      </c>
      <c r="C241" s="108">
        <v>0</v>
      </c>
      <c r="D241" s="110"/>
      <c r="E241" s="108">
        <f>'2019 Certified Estimate'!E247</f>
        <v>0</v>
      </c>
      <c r="F241" s="109">
        <v>0</v>
      </c>
      <c r="G241" s="110">
        <v>0</v>
      </c>
      <c r="H241" s="107">
        <f t="shared" si="24"/>
        <v>0</v>
      </c>
      <c r="I241" s="108">
        <f t="shared" si="24"/>
        <v>0</v>
      </c>
      <c r="J241" s="110">
        <v>0</v>
      </c>
      <c r="K241" s="111">
        <f>I241/I243</f>
        <v>0</v>
      </c>
    </row>
    <row r="242" spans="1:11" s="144" customFormat="1" ht="10.5" thickBot="1">
      <c r="A242" s="9" t="s">
        <v>46</v>
      </c>
      <c r="B242" s="107">
        <v>0</v>
      </c>
      <c r="C242" s="108">
        <v>0</v>
      </c>
      <c r="D242" s="110"/>
      <c r="E242" s="108">
        <f>'2019 Certified Estimate'!E248</f>
        <v>0</v>
      </c>
      <c r="F242" s="109">
        <v>0</v>
      </c>
      <c r="G242" s="110" t="e">
        <f t="shared" si="23"/>
        <v>#DIV/0!</v>
      </c>
      <c r="H242" s="107">
        <f t="shared" si="24"/>
        <v>0</v>
      </c>
      <c r="I242" s="108">
        <f t="shared" si="24"/>
        <v>0</v>
      </c>
      <c r="J242" s="110" t="e">
        <f t="shared" si="25"/>
        <v>#DIV/0!</v>
      </c>
      <c r="K242" s="111">
        <f>I242/I243</f>
        <v>0</v>
      </c>
    </row>
    <row r="243" spans="1:11" s="144" customFormat="1" ht="10.5" thickBot="1">
      <c r="A243" s="250" t="s">
        <v>47</v>
      </c>
      <c r="B243" s="259">
        <f>SUM(B232:B242)</f>
        <v>138780</v>
      </c>
      <c r="C243" s="260">
        <f>SUM(C232:C242)</f>
        <v>96650</v>
      </c>
      <c r="D243" s="256">
        <f>(C243-B243)/B243</f>
        <v>-0.3035740020175818</v>
      </c>
      <c r="E243" s="259">
        <f>SUM(E232:E242)</f>
        <v>3982270</v>
      </c>
      <c r="F243" s="260">
        <f>SUM(F232:F242)</f>
        <v>3702870</v>
      </c>
      <c r="G243" s="256">
        <f t="shared" si="23"/>
        <v>-0.07016098858188922</v>
      </c>
      <c r="H243" s="263">
        <f>SUM(H232:H242)</f>
        <v>4121050</v>
      </c>
      <c r="I243" s="257">
        <f>SUM(I232:I242)</f>
        <v>3799520</v>
      </c>
      <c r="J243" s="256">
        <f t="shared" si="25"/>
        <v>-0.07802137804685699</v>
      </c>
      <c r="K243" s="261">
        <f>SUM(K232:K242)</f>
        <v>1</v>
      </c>
    </row>
    <row r="244" spans="1:11" s="144" customFormat="1" ht="9.75">
      <c r="A244" s="113" t="str">
        <f>A92</f>
        <v>Less Minimum Value Loss</v>
      </c>
      <c r="B244" s="9"/>
      <c r="C244" s="9"/>
      <c r="D244" s="9"/>
      <c r="E244" s="9"/>
      <c r="F244" s="9"/>
      <c r="G244" s="9"/>
      <c r="H244" s="108">
        <f>'2019 Certified Estimate'!H250</f>
        <v>0</v>
      </c>
      <c r="I244" s="118">
        <v>0</v>
      </c>
      <c r="J244" s="117">
        <v>0</v>
      </c>
      <c r="K244" s="9"/>
    </row>
    <row r="245" spans="1:11" s="144" customFormat="1" ht="9.75">
      <c r="A245" s="113" t="s">
        <v>174</v>
      </c>
      <c r="B245" s="9"/>
      <c r="C245" s="9"/>
      <c r="D245" s="9"/>
      <c r="E245" s="9"/>
      <c r="F245" s="9"/>
      <c r="G245" s="9"/>
      <c r="H245" s="108">
        <f>'2019 Certified Estimate'!H251</f>
        <v>-38330</v>
      </c>
      <c r="I245" s="118">
        <v>-1980</v>
      </c>
      <c r="J245" s="117">
        <f t="shared" si="25"/>
        <v>-0.9483433342029741</v>
      </c>
      <c r="K245" s="9"/>
    </row>
    <row r="246" spans="1:11" s="144" customFormat="1" ht="10.5" thickBot="1">
      <c r="A246" s="113" t="s">
        <v>49</v>
      </c>
      <c r="B246" s="9"/>
      <c r="C246" s="114"/>
      <c r="D246" s="9"/>
      <c r="E246" s="9"/>
      <c r="F246" s="9"/>
      <c r="G246" s="9"/>
      <c r="H246" s="108">
        <f>'2019 Certified Estimate'!H252</f>
        <v>-885690</v>
      </c>
      <c r="I246" s="118">
        <v>-742210</v>
      </c>
      <c r="J246" s="126">
        <f t="shared" si="25"/>
        <v>-0.16199799026747508</v>
      </c>
      <c r="K246" s="9"/>
    </row>
    <row r="247" spans="1:11" s="144" customFormat="1" ht="10.5" thickBot="1">
      <c r="A247" s="250" t="s">
        <v>50</v>
      </c>
      <c r="B247" s="253"/>
      <c r="C247" s="253"/>
      <c r="D247" s="253"/>
      <c r="E247" s="253"/>
      <c r="F247" s="253"/>
      <c r="G247" s="253"/>
      <c r="H247" s="254">
        <f>SUM(H243:H246)</f>
        <v>3197030</v>
      </c>
      <c r="I247" s="257">
        <f>SUM(I243:I246)</f>
        <v>3055330</v>
      </c>
      <c r="J247" s="256">
        <f t="shared" si="25"/>
        <v>-0.04432238671517002</v>
      </c>
      <c r="K247" s="9"/>
    </row>
    <row r="248" spans="1:11" s="144" customFormat="1" ht="9.75">
      <c r="A248" s="113" t="s">
        <v>127</v>
      </c>
      <c r="B248" s="9"/>
      <c r="C248" s="9"/>
      <c r="D248" s="9"/>
      <c r="E248" s="9"/>
      <c r="F248" s="9"/>
      <c r="G248" s="9"/>
      <c r="H248" s="108">
        <f>'2019 Certified Estimate'!H254</f>
        <v>-280</v>
      </c>
      <c r="I248" s="120">
        <v>-650</v>
      </c>
      <c r="J248" s="117">
        <f t="shared" si="25"/>
        <v>1.3214285714285714</v>
      </c>
      <c r="K248" s="9"/>
    </row>
    <row r="249" spans="1:11" s="144" customFormat="1" ht="9.75">
      <c r="A249" s="113" t="s">
        <v>78</v>
      </c>
      <c r="B249" s="9"/>
      <c r="C249" s="9"/>
      <c r="D249" s="9"/>
      <c r="E249" s="9"/>
      <c r="F249" s="9"/>
      <c r="G249" s="9"/>
      <c r="H249" s="108">
        <f>'2019 Certified Estimate'!H255</f>
        <v>0</v>
      </c>
      <c r="I249" s="145">
        <v>0</v>
      </c>
      <c r="J249" s="117">
        <v>0</v>
      </c>
      <c r="K249" s="9"/>
    </row>
    <row r="250" spans="1:11" s="144" customFormat="1" ht="9.75">
      <c r="A250" s="113" t="s">
        <v>128</v>
      </c>
      <c r="B250" s="9"/>
      <c r="C250" s="9"/>
      <c r="D250" s="9"/>
      <c r="E250" s="9"/>
      <c r="F250" s="9"/>
      <c r="G250" s="9"/>
      <c r="H250" s="108">
        <f>'2019 Certified Estimate'!H256</f>
        <v>0</v>
      </c>
      <c r="I250" s="145">
        <v>0</v>
      </c>
      <c r="J250" s="117">
        <v>0</v>
      </c>
      <c r="K250" s="9"/>
    </row>
    <row r="251" spans="1:11" s="144" customFormat="1" ht="9.75">
      <c r="A251" s="113" t="s">
        <v>157</v>
      </c>
      <c r="B251" s="9"/>
      <c r="C251" s="9"/>
      <c r="D251" s="9"/>
      <c r="E251" s="9"/>
      <c r="F251" s="9"/>
      <c r="G251" s="9"/>
      <c r="H251" s="108">
        <f>'2019 Certified Estimate'!H257</f>
        <v>0</v>
      </c>
      <c r="I251" s="118">
        <v>0</v>
      </c>
      <c r="J251" s="117" t="e">
        <f t="shared" si="25"/>
        <v>#DIV/0!</v>
      </c>
      <c r="K251" s="9"/>
    </row>
    <row r="252" spans="1:11" s="144" customFormat="1" ht="9.75">
      <c r="A252" s="113" t="s">
        <v>53</v>
      </c>
      <c r="B252" s="9"/>
      <c r="C252" s="9"/>
      <c r="D252" s="9"/>
      <c r="E252" s="9"/>
      <c r="F252" s="9"/>
      <c r="G252" s="9"/>
      <c r="H252" s="108">
        <f>'2019 Certified Estimate'!H258</f>
        <v>-389853</v>
      </c>
      <c r="I252" s="118">
        <v>-240959</v>
      </c>
      <c r="J252" s="117">
        <f t="shared" si="25"/>
        <v>-0.3819234429387487</v>
      </c>
      <c r="K252" s="9"/>
    </row>
    <row r="253" spans="1:11" s="144" customFormat="1" ht="9.75">
      <c r="A253" s="113" t="s">
        <v>54</v>
      </c>
      <c r="B253" s="9"/>
      <c r="C253" s="9"/>
      <c r="D253" s="9"/>
      <c r="E253" s="9"/>
      <c r="F253" s="9"/>
      <c r="G253" s="9"/>
      <c r="H253" s="108">
        <f>'2019 Certified Estimate'!H259</f>
        <v>-36620</v>
      </c>
      <c r="I253" s="118">
        <v>-60000</v>
      </c>
      <c r="J253" s="117">
        <f t="shared" si="25"/>
        <v>0.6384489350081922</v>
      </c>
      <c r="K253" s="9"/>
    </row>
    <row r="254" spans="1:11" s="144" customFormat="1" ht="9.75">
      <c r="A254" s="113" t="s">
        <v>55</v>
      </c>
      <c r="B254" s="9"/>
      <c r="C254" s="9"/>
      <c r="D254" s="9"/>
      <c r="E254" s="9"/>
      <c r="F254" s="9"/>
      <c r="G254" s="9"/>
      <c r="H254" s="108">
        <f>'2019 Certified Estimate'!H260</f>
        <v>-18170</v>
      </c>
      <c r="I254" s="118">
        <v>-32380</v>
      </c>
      <c r="J254" s="117">
        <f t="shared" si="25"/>
        <v>0.7820583379196477</v>
      </c>
      <c r="K254" s="9"/>
    </row>
    <row r="255" spans="1:11" s="144" customFormat="1" ht="9.75">
      <c r="A255" s="113" t="s">
        <v>56</v>
      </c>
      <c r="B255" s="9"/>
      <c r="C255" s="9"/>
      <c r="D255" s="9"/>
      <c r="E255" s="9"/>
      <c r="F255" s="9"/>
      <c r="G255" s="9"/>
      <c r="H255" s="108">
        <f>'2019 Certified Estimate'!H261</f>
        <v>-21250</v>
      </c>
      <c r="I255" s="118">
        <v>-24000</v>
      </c>
      <c r="J255" s="117">
        <f t="shared" si="25"/>
        <v>0.12941176470588237</v>
      </c>
      <c r="K255" s="9"/>
    </row>
    <row r="256" spans="1:11" s="144" customFormat="1" ht="9.75">
      <c r="A256" s="113" t="s">
        <v>57</v>
      </c>
      <c r="B256" s="9"/>
      <c r="C256" s="9"/>
      <c r="D256" s="9"/>
      <c r="E256" s="9"/>
      <c r="F256" s="9"/>
      <c r="G256" s="9"/>
      <c r="H256" s="108">
        <f>'2019 Certified Estimate'!H262</f>
        <v>0</v>
      </c>
      <c r="I256" s="145">
        <v>0</v>
      </c>
      <c r="J256" s="117">
        <v>0</v>
      </c>
      <c r="K256" s="9"/>
    </row>
    <row r="257" spans="1:11" s="144" customFormat="1" ht="9.75">
      <c r="A257" s="113" t="s">
        <v>58</v>
      </c>
      <c r="B257" s="9"/>
      <c r="C257" s="9"/>
      <c r="D257" s="9"/>
      <c r="E257" s="9"/>
      <c r="F257" s="9"/>
      <c r="G257" s="9"/>
      <c r="H257" s="108">
        <f>'2019 Certified Estimate'!H263</f>
        <v>0</v>
      </c>
      <c r="I257" s="120">
        <v>0</v>
      </c>
      <c r="J257" s="117">
        <v>0</v>
      </c>
      <c r="K257" s="9"/>
    </row>
    <row r="258" spans="1:11" s="144" customFormat="1" ht="10.5" thickBot="1">
      <c r="A258" s="113" t="s">
        <v>59</v>
      </c>
      <c r="B258" s="9"/>
      <c r="C258" s="9"/>
      <c r="D258" s="9"/>
      <c r="E258" s="9"/>
      <c r="F258" s="9"/>
      <c r="G258" s="9"/>
      <c r="H258" s="108">
        <f>'2019 Certified Estimate'!H264</f>
        <v>0</v>
      </c>
      <c r="I258" s="120">
        <v>0</v>
      </c>
      <c r="J258" s="126">
        <v>0</v>
      </c>
      <c r="K258" s="9"/>
    </row>
    <row r="259" spans="1:11" s="144" customFormat="1" ht="10.5" thickBot="1">
      <c r="A259" s="250" t="s">
        <v>60</v>
      </c>
      <c r="B259" s="253"/>
      <c r="C259" s="253"/>
      <c r="D259" s="253"/>
      <c r="E259" s="253"/>
      <c r="F259" s="253"/>
      <c r="G259" s="253"/>
      <c r="H259" s="254">
        <f>SUM(H247:H258)</f>
        <v>2730857</v>
      </c>
      <c r="I259" s="257">
        <f>SUM(I247:I258)</f>
        <v>2697341</v>
      </c>
      <c r="J259" s="256">
        <f t="shared" si="25"/>
        <v>-0.01227307032188064</v>
      </c>
      <c r="K259" s="9"/>
    </row>
    <row r="260" spans="1:11" s="144" customFormat="1" ht="9.75">
      <c r="A260" s="121" t="s">
        <v>61</v>
      </c>
      <c r="B260" s="9"/>
      <c r="C260" s="9"/>
      <c r="D260" s="9"/>
      <c r="E260" s="108">
        <f>'2019 Certified Estimate'!E266</f>
        <v>127389</v>
      </c>
      <c r="F260" s="118">
        <v>297040</v>
      </c>
      <c r="G260" s="123">
        <f>(F260-E260)/E260</f>
        <v>1.3317554890924648</v>
      </c>
      <c r="H260" s="124"/>
      <c r="I260" s="125"/>
      <c r="J260" s="9"/>
      <c r="K260" s="9"/>
    </row>
    <row r="261" spans="1:11" s="144" customFormat="1" ht="9.75">
      <c r="A261" s="121" t="s">
        <v>19</v>
      </c>
      <c r="B261" s="9"/>
      <c r="C261" s="9"/>
      <c r="D261" s="9"/>
      <c r="E261" s="127">
        <f>'2019 Certified Estimate'!E267</f>
        <v>1157.97</v>
      </c>
      <c r="F261" s="137">
        <v>2527.84</v>
      </c>
      <c r="G261" s="123">
        <f>(F261-E261)/E261</f>
        <v>1.1829926509322348</v>
      </c>
      <c r="H261" s="124"/>
      <c r="I261" s="125"/>
      <c r="J261" s="9"/>
      <c r="K261" s="130"/>
    </row>
    <row r="262" spans="1:11" s="144" customFormat="1" ht="9.75">
      <c r="A262" s="121"/>
      <c r="B262" s="9"/>
      <c r="C262" s="9"/>
      <c r="D262" s="9"/>
      <c r="E262" s="143"/>
      <c r="F262" s="141"/>
      <c r="G262" s="123"/>
      <c r="H262" s="112"/>
      <c r="I262" s="108"/>
      <c r="J262" s="9"/>
      <c r="K262" s="9"/>
    </row>
    <row r="263" spans="1:11" s="144" customFormat="1" ht="9.75">
      <c r="A263" s="121"/>
      <c r="B263" s="104"/>
      <c r="C263" s="104"/>
      <c r="D263" s="104"/>
      <c r="E263" s="104"/>
      <c r="F263" s="104"/>
      <c r="G263" s="104"/>
      <c r="H263" s="125"/>
      <c r="I263" s="125"/>
      <c r="J263" s="123"/>
      <c r="K263" s="9"/>
    </row>
    <row r="264" spans="1:11" s="144" customFormat="1" ht="9.75">
      <c r="A264" s="121" t="s">
        <v>18</v>
      </c>
      <c r="B264" s="9"/>
      <c r="C264" s="9"/>
      <c r="D264" s="9"/>
      <c r="E264" s="9"/>
      <c r="F264" s="9"/>
      <c r="G264" s="9"/>
      <c r="H264" s="108">
        <f>'2019 Certified Estimate'!H270</f>
        <v>0</v>
      </c>
      <c r="I264" s="118">
        <v>285257</v>
      </c>
      <c r="J264" s="123">
        <v>1</v>
      </c>
      <c r="K264" s="9"/>
    </row>
    <row r="265" spans="1:11" s="144" customFormat="1" ht="9.75">
      <c r="A265" s="121" t="s">
        <v>17</v>
      </c>
      <c r="B265" s="9"/>
      <c r="C265" s="9"/>
      <c r="D265" s="9"/>
      <c r="E265" s="9"/>
      <c r="F265" s="9"/>
      <c r="G265" s="9"/>
      <c r="H265" s="108">
        <f>'2019 Certified Estimate'!H271</f>
        <v>82</v>
      </c>
      <c r="I265" s="118">
        <v>224</v>
      </c>
      <c r="J265" s="123">
        <f>(I265-H265)/H265</f>
        <v>1.7317073170731707</v>
      </c>
      <c r="K265" s="9"/>
    </row>
    <row r="266" spans="1:10" s="136" customFormat="1" ht="10.5" thickBot="1">
      <c r="A266" s="132"/>
      <c r="H266" s="140"/>
      <c r="I266" s="140"/>
      <c r="J266" s="135"/>
    </row>
    <row r="267" spans="1:11" ht="10.5" thickBot="1">
      <c r="A267" s="267" t="s">
        <v>5</v>
      </c>
      <c r="B267" s="95" t="s">
        <v>32</v>
      </c>
      <c r="C267" s="96"/>
      <c r="D267" s="97"/>
      <c r="E267" s="95" t="s">
        <v>33</v>
      </c>
      <c r="F267" s="96"/>
      <c r="G267" s="97"/>
      <c r="H267" s="95" t="s">
        <v>34</v>
      </c>
      <c r="I267" s="96"/>
      <c r="J267" s="97"/>
      <c r="K267" s="99"/>
    </row>
    <row r="268" spans="1:11" ht="9.75">
      <c r="A268" s="9" t="s">
        <v>35</v>
      </c>
      <c r="B268" s="101" t="s">
        <v>193</v>
      </c>
      <c r="C268" s="102" t="s">
        <v>188</v>
      </c>
      <c r="D268" s="100" t="s">
        <v>67</v>
      </c>
      <c r="E268" s="101" t="str">
        <f>B268</f>
        <v>2013 Certified</v>
      </c>
      <c r="F268" s="102" t="s">
        <v>188</v>
      </c>
      <c r="G268" s="100" t="s">
        <v>67</v>
      </c>
      <c r="H268" s="101" t="s">
        <v>187</v>
      </c>
      <c r="I268" s="102" t="s">
        <v>189</v>
      </c>
      <c r="J268" s="100" t="s">
        <v>67</v>
      </c>
      <c r="K268" s="207" t="s">
        <v>71</v>
      </c>
    </row>
    <row r="269" spans="2:11" ht="9.75">
      <c r="B269" s="103"/>
      <c r="C269" s="104"/>
      <c r="D269" s="105"/>
      <c r="E269" s="103"/>
      <c r="F269" s="104"/>
      <c r="G269" s="105"/>
      <c r="H269" s="103"/>
      <c r="I269" s="104"/>
      <c r="J269" s="105"/>
      <c r="K269" s="106"/>
    </row>
    <row r="270" spans="1:11" ht="9.75">
      <c r="A270" s="9" t="s">
        <v>36</v>
      </c>
      <c r="B270" s="107">
        <v>0</v>
      </c>
      <c r="C270" s="108">
        <v>0</v>
      </c>
      <c r="D270" s="105"/>
      <c r="E270" s="108">
        <f>'2019 Certified Estimate'!E277</f>
        <v>76533950</v>
      </c>
      <c r="F270" s="108">
        <v>72154560</v>
      </c>
      <c r="G270" s="110">
        <f>(F270-E270)/E270</f>
        <v>-0.05722153371150973</v>
      </c>
      <c r="H270" s="107">
        <f aca="true" t="shared" si="26" ref="H270:I280">B270+E270</f>
        <v>76533950</v>
      </c>
      <c r="I270" s="108">
        <f t="shared" si="26"/>
        <v>72154560</v>
      </c>
      <c r="J270" s="110">
        <f aca="true" t="shared" si="27" ref="J270:J278">(I270-H270)/H270</f>
        <v>-0.05722153371150973</v>
      </c>
      <c r="K270" s="111">
        <f>I270/I281</f>
        <v>0.1394057971101295</v>
      </c>
    </row>
    <row r="271" spans="1:11" ht="9.75">
      <c r="A271" s="9" t="s">
        <v>37</v>
      </c>
      <c r="B271" s="107">
        <v>0</v>
      </c>
      <c r="C271" s="108">
        <v>0</v>
      </c>
      <c r="D271" s="105"/>
      <c r="E271" s="108">
        <f>'2019 Certified Estimate'!E278</f>
        <v>1640950</v>
      </c>
      <c r="F271" s="108">
        <v>984020</v>
      </c>
      <c r="G271" s="110">
        <f>(F271-E271)/E271</f>
        <v>-0.40033517169932054</v>
      </c>
      <c r="H271" s="107">
        <f t="shared" si="26"/>
        <v>1640950</v>
      </c>
      <c r="I271" s="108">
        <f t="shared" si="26"/>
        <v>984020</v>
      </c>
      <c r="J271" s="110">
        <f t="shared" si="27"/>
        <v>-0.40033517169932054</v>
      </c>
      <c r="K271" s="111">
        <f>I271/I281</f>
        <v>0.0019011701058437554</v>
      </c>
    </row>
    <row r="272" spans="1:11" ht="9.75">
      <c r="A272" s="9" t="s">
        <v>38</v>
      </c>
      <c r="B272" s="107">
        <v>0</v>
      </c>
      <c r="C272" s="108">
        <v>0</v>
      </c>
      <c r="D272" s="105"/>
      <c r="E272" s="108">
        <f>'2019 Certified Estimate'!E279</f>
        <v>3962590</v>
      </c>
      <c r="F272" s="108">
        <v>5447470</v>
      </c>
      <c r="G272" s="110">
        <f>(F272-E272)/E272</f>
        <v>0.37472461193310436</v>
      </c>
      <c r="H272" s="107">
        <f t="shared" si="26"/>
        <v>3962590</v>
      </c>
      <c r="I272" s="108">
        <f t="shared" si="26"/>
        <v>5447470</v>
      </c>
      <c r="J272" s="110">
        <f t="shared" si="27"/>
        <v>0.37472461193310436</v>
      </c>
      <c r="K272" s="111">
        <f>I272/I281</f>
        <v>0.010524752664052237</v>
      </c>
    </row>
    <row r="273" spans="1:11" ht="9.75">
      <c r="A273" s="9" t="s">
        <v>39</v>
      </c>
      <c r="B273" s="107">
        <v>0</v>
      </c>
      <c r="C273" s="108">
        <v>0</v>
      </c>
      <c r="D273" s="105"/>
      <c r="E273" s="108">
        <f>'2019 Certified Estimate'!E280</f>
        <v>118139860</v>
      </c>
      <c r="F273" s="108">
        <v>108497870</v>
      </c>
      <c r="G273" s="110">
        <f>(F273-E273)/E273</f>
        <v>-0.08161504508300585</v>
      </c>
      <c r="H273" s="107">
        <f t="shared" si="26"/>
        <v>118139860</v>
      </c>
      <c r="I273" s="108">
        <f t="shared" si="26"/>
        <v>108497870</v>
      </c>
      <c r="J273" s="110">
        <f t="shared" si="27"/>
        <v>-0.08161504508300585</v>
      </c>
      <c r="K273" s="111">
        <f>I273/I281</f>
        <v>0.20962267737619358</v>
      </c>
    </row>
    <row r="274" spans="1:11" ht="9.75">
      <c r="A274" s="9" t="s">
        <v>40</v>
      </c>
      <c r="B274" s="107">
        <v>0</v>
      </c>
      <c r="C274" s="108">
        <v>0</v>
      </c>
      <c r="D274" s="110"/>
      <c r="E274" s="108">
        <f>'2019 Certified Estimate'!E281</f>
        <v>22670310</v>
      </c>
      <c r="F274" s="108">
        <v>57778520</v>
      </c>
      <c r="G274" s="110">
        <f>(F274-E274)/E274</f>
        <v>1.5486426961078168</v>
      </c>
      <c r="H274" s="107">
        <f t="shared" si="26"/>
        <v>22670310</v>
      </c>
      <c r="I274" s="108">
        <f t="shared" si="26"/>
        <v>57778520</v>
      </c>
      <c r="J274" s="110">
        <f t="shared" si="27"/>
        <v>1.5486426961078168</v>
      </c>
      <c r="K274" s="111">
        <f>I274/I281</f>
        <v>0.11163065281589352</v>
      </c>
    </row>
    <row r="275" spans="1:11" ht="9.75">
      <c r="A275" s="9" t="s">
        <v>41</v>
      </c>
      <c r="B275" s="107">
        <f>'2019 Certified Estimate'!B282</f>
        <v>29865030</v>
      </c>
      <c r="C275" s="109">
        <v>90621060</v>
      </c>
      <c r="D275" s="110">
        <f>(C275-B275)/B275</f>
        <v>2.0343535566513746</v>
      </c>
      <c r="E275" s="108">
        <f>'2019 Certified Estimate'!E282</f>
        <v>0</v>
      </c>
      <c r="F275" s="108">
        <v>0</v>
      </c>
      <c r="G275" s="110">
        <v>0</v>
      </c>
      <c r="H275" s="107">
        <f t="shared" si="26"/>
        <v>29865030</v>
      </c>
      <c r="I275" s="108">
        <f t="shared" si="26"/>
        <v>90621060</v>
      </c>
      <c r="J275" s="110">
        <f t="shared" si="27"/>
        <v>2.0343535566513746</v>
      </c>
      <c r="K275" s="111">
        <f>I275/I281</f>
        <v>0.17508389080696868</v>
      </c>
    </row>
    <row r="276" spans="1:11" ht="9.75">
      <c r="A276" s="9" t="s">
        <v>42</v>
      </c>
      <c r="B276" s="107">
        <f>'2019 Certified Estimate'!B283</f>
        <v>49378940</v>
      </c>
      <c r="C276" s="109">
        <v>26057380</v>
      </c>
      <c r="D276" s="110">
        <f>(C276-B276)/B276</f>
        <v>-0.472297704243955</v>
      </c>
      <c r="E276" s="108">
        <f>'2019 Certified Estimate'!E283</f>
        <v>458750</v>
      </c>
      <c r="F276" s="108">
        <v>474080</v>
      </c>
      <c r="G276" s="110">
        <f aca="true" t="shared" si="28" ref="G276:G281">(F276-E276)/E276</f>
        <v>0.03341689373297003</v>
      </c>
      <c r="H276" s="107">
        <f t="shared" si="26"/>
        <v>49837690</v>
      </c>
      <c r="I276" s="108">
        <f t="shared" si="26"/>
        <v>26531460</v>
      </c>
      <c r="J276" s="110">
        <f t="shared" si="27"/>
        <v>-0.46764266160811224</v>
      </c>
      <c r="K276" s="111">
        <f>I276/I281</f>
        <v>0.05125995265989448</v>
      </c>
    </row>
    <row r="277" spans="1:11" ht="9.75">
      <c r="A277" s="9" t="s">
        <v>43</v>
      </c>
      <c r="B277" s="107">
        <f>'2019 Certified Estimate'!B284</f>
        <v>180965380</v>
      </c>
      <c r="C277" s="109">
        <v>133988720</v>
      </c>
      <c r="D277" s="110">
        <f>(C277-B277)/B277</f>
        <v>-0.25958920982565836</v>
      </c>
      <c r="E277" s="108">
        <f>'2019 Certified Estimate'!E284</f>
        <v>6881620</v>
      </c>
      <c r="F277" s="108">
        <v>4092330</v>
      </c>
      <c r="G277" s="110">
        <f t="shared" si="28"/>
        <v>-0.40532461833114874</v>
      </c>
      <c r="H277" s="107">
        <f t="shared" si="26"/>
        <v>187847000</v>
      </c>
      <c r="I277" s="108">
        <f t="shared" si="26"/>
        <v>138081050</v>
      </c>
      <c r="J277" s="110">
        <f t="shared" si="27"/>
        <v>-0.2649281063844512</v>
      </c>
      <c r="K277" s="111">
        <f>I277/I281</f>
        <v>0.26677868787577175</v>
      </c>
    </row>
    <row r="278" spans="1:11" ht="9.75">
      <c r="A278" s="9" t="s">
        <v>44</v>
      </c>
      <c r="B278" s="107">
        <v>0</v>
      </c>
      <c r="C278" s="108">
        <v>0</v>
      </c>
      <c r="D278" s="110"/>
      <c r="E278" s="108">
        <f>'2019 Certified Estimate'!E285</f>
        <v>4808350</v>
      </c>
      <c r="F278" s="108">
        <v>4179190</v>
      </c>
      <c r="G278" s="110">
        <f t="shared" si="28"/>
        <v>-0.13084738007840527</v>
      </c>
      <c r="H278" s="107">
        <f t="shared" si="26"/>
        <v>4808350</v>
      </c>
      <c r="I278" s="108">
        <f t="shared" si="26"/>
        <v>4179190</v>
      </c>
      <c r="J278" s="110">
        <f t="shared" si="27"/>
        <v>-0.13084738007840527</v>
      </c>
      <c r="K278" s="111">
        <f>I278/I281</f>
        <v>0.008074379681958867</v>
      </c>
    </row>
    <row r="279" spans="1:11" ht="9.75">
      <c r="A279" s="9" t="s">
        <v>45</v>
      </c>
      <c r="B279" s="107">
        <v>0</v>
      </c>
      <c r="C279" s="108">
        <v>0</v>
      </c>
      <c r="D279" s="110"/>
      <c r="E279" s="108">
        <f>'2019 Certified Estimate'!E286</f>
        <v>0</v>
      </c>
      <c r="F279" s="108">
        <v>0</v>
      </c>
      <c r="G279" s="110">
        <v>1</v>
      </c>
      <c r="H279" s="107">
        <f t="shared" si="26"/>
        <v>0</v>
      </c>
      <c r="I279" s="108">
        <f t="shared" si="26"/>
        <v>0</v>
      </c>
      <c r="J279" s="110">
        <v>0</v>
      </c>
      <c r="K279" s="111">
        <f>I279/I281</f>
        <v>0</v>
      </c>
    </row>
    <row r="280" spans="1:11" ht="10.5" thickBot="1">
      <c r="A280" s="9" t="s">
        <v>46</v>
      </c>
      <c r="B280" s="107">
        <v>0</v>
      </c>
      <c r="C280" s="108">
        <v>0</v>
      </c>
      <c r="D280" s="110"/>
      <c r="E280" s="108">
        <f>'2019 Certified Estimate'!E287</f>
        <v>14185950</v>
      </c>
      <c r="F280" s="108">
        <v>13311310</v>
      </c>
      <c r="G280" s="110">
        <f t="shared" si="28"/>
        <v>-0.06165537027833878</v>
      </c>
      <c r="H280" s="107">
        <f t="shared" si="26"/>
        <v>14185950</v>
      </c>
      <c r="I280" s="108">
        <f t="shared" si="26"/>
        <v>13311310</v>
      </c>
      <c r="J280" s="110">
        <f aca="true" t="shared" si="29" ref="J280:J287">(I280-H280)/H280</f>
        <v>-0.06165537027833878</v>
      </c>
      <c r="K280" s="111">
        <f>I280/I281</f>
        <v>0.025718038903293675</v>
      </c>
    </row>
    <row r="281" spans="1:11" ht="10.5" thickBot="1">
      <c r="A281" s="250" t="s">
        <v>47</v>
      </c>
      <c r="B281" s="259">
        <f>SUM(B270:B280)</f>
        <v>260209350</v>
      </c>
      <c r="C281" s="260">
        <f>SUM(C270:C280)</f>
        <v>250667160</v>
      </c>
      <c r="D281" s="256">
        <f>(C281-B281)/B281</f>
        <v>-0.0366712033983406</v>
      </c>
      <c r="E281" s="259">
        <f>SUM(E270:E280)</f>
        <v>249282330</v>
      </c>
      <c r="F281" s="260">
        <f>SUM(F270:F280)</f>
        <v>266919350</v>
      </c>
      <c r="G281" s="256">
        <f t="shared" si="28"/>
        <v>0.0707511840089107</v>
      </c>
      <c r="H281" s="263">
        <f>SUM(H270:H280)</f>
        <v>509491680</v>
      </c>
      <c r="I281" s="257">
        <f>SUM(I270:I280)</f>
        <v>517586510</v>
      </c>
      <c r="J281" s="256">
        <f t="shared" si="29"/>
        <v>0.01588805140056458</v>
      </c>
      <c r="K281" s="261">
        <f>SUM(K270:K280)</f>
        <v>1</v>
      </c>
    </row>
    <row r="282" spans="1:10" ht="9.75">
      <c r="A282" s="113" t="str">
        <f>A16</f>
        <v>Less Minimum Value Loss</v>
      </c>
      <c r="H282" s="108">
        <f>'2019 Certified Estimate'!H289</f>
        <v>0</v>
      </c>
      <c r="I282" s="108">
        <v>0</v>
      </c>
      <c r="J282" s="126">
        <v>0</v>
      </c>
    </row>
    <row r="283" spans="1:10" ht="9.75">
      <c r="A283" s="113" t="s">
        <v>174</v>
      </c>
      <c r="H283" s="108">
        <f>'2019 Certified Estimate'!H290</f>
        <v>-222540</v>
      </c>
      <c r="I283" s="108">
        <v>-513240</v>
      </c>
      <c r="J283" s="126">
        <f t="shared" si="29"/>
        <v>1.306282016716096</v>
      </c>
    </row>
    <row r="284" spans="1:10" ht="10.5" thickBot="1">
      <c r="A284" s="113" t="s">
        <v>49</v>
      </c>
      <c r="H284" s="108">
        <f>'2019 Certified Estimate'!H291</f>
        <v>-43868200</v>
      </c>
      <c r="I284" s="108">
        <v>-41938360</v>
      </c>
      <c r="J284" s="126">
        <f t="shared" si="29"/>
        <v>-0.043991775363475136</v>
      </c>
    </row>
    <row r="285" spans="1:10" ht="10.5" thickBot="1">
      <c r="A285" s="250" t="s">
        <v>50</v>
      </c>
      <c r="B285" s="253"/>
      <c r="C285" s="253"/>
      <c r="D285" s="253"/>
      <c r="E285" s="253"/>
      <c r="F285" s="253"/>
      <c r="G285" s="253"/>
      <c r="H285" s="254">
        <f>SUM(H281:H284)</f>
        <v>465400940</v>
      </c>
      <c r="I285" s="257">
        <f>SUM(I281:I284)</f>
        <v>475134910</v>
      </c>
      <c r="J285" s="256">
        <f t="shared" si="29"/>
        <v>0.020915234936998622</v>
      </c>
    </row>
    <row r="286" spans="1:10" ht="9.75">
      <c r="A286" s="113" t="s">
        <v>127</v>
      </c>
      <c r="H286" s="108">
        <f>'2019 Certified Estimate'!H293</f>
        <v>-251070</v>
      </c>
      <c r="I286" s="108">
        <v>-248770</v>
      </c>
      <c r="J286" s="117">
        <f t="shared" si="29"/>
        <v>-0.009160791811048712</v>
      </c>
    </row>
    <row r="287" spans="1:10" ht="9.75">
      <c r="A287" s="113" t="s">
        <v>78</v>
      </c>
      <c r="H287" s="108">
        <f>'2019 Certified Estimate'!H294</f>
        <v>-137350</v>
      </c>
      <c r="I287" s="108">
        <v>-13230</v>
      </c>
      <c r="J287" s="117">
        <f t="shared" si="29"/>
        <v>-0.9036767382599199</v>
      </c>
    </row>
    <row r="288" spans="1:10" ht="9.75">
      <c r="A288" s="113" t="s">
        <v>128</v>
      </c>
      <c r="H288" s="108">
        <f>'2019 Certified Estimate'!H295</f>
        <v>0</v>
      </c>
      <c r="I288" s="108">
        <v>0</v>
      </c>
      <c r="J288" s="117">
        <v>0</v>
      </c>
    </row>
    <row r="289" spans="1:10" ht="9.75">
      <c r="A289" s="113" t="s">
        <v>157</v>
      </c>
      <c r="H289" s="108">
        <f>'2019 Certified Estimate'!H296</f>
        <v>-14460670</v>
      </c>
      <c r="I289" s="108">
        <v>-13696532</v>
      </c>
      <c r="J289" s="117">
        <f aca="true" t="shared" si="30" ref="J289:J294">(I289-H289)/H289</f>
        <v>-0.05284250314819438</v>
      </c>
    </row>
    <row r="290" spans="1:10" ht="9.75">
      <c r="A290" s="113" t="s">
        <v>53</v>
      </c>
      <c r="H290" s="108">
        <f>'2019 Certified Estimate'!H297</f>
        <v>-21996747</v>
      </c>
      <c r="I290" s="108">
        <v>-13740018</v>
      </c>
      <c r="J290" s="117">
        <f t="shared" si="30"/>
        <v>-0.3753613659328809</v>
      </c>
    </row>
    <row r="291" spans="1:10" ht="9.75">
      <c r="A291" s="113" t="s">
        <v>54</v>
      </c>
      <c r="H291" s="108">
        <f>'2019 Certified Estimate'!H298</f>
        <v>-3118785</v>
      </c>
      <c r="I291" s="108">
        <v>-3083831</v>
      </c>
      <c r="J291" s="117">
        <f t="shared" si="30"/>
        <v>-0.011207569614449216</v>
      </c>
    </row>
    <row r="292" spans="1:10" ht="9.75">
      <c r="A292" s="113" t="s">
        <v>55</v>
      </c>
      <c r="H292" s="108">
        <f>'2019 Certified Estimate'!H299</f>
        <v>-330743</v>
      </c>
      <c r="I292" s="108">
        <v>-456459</v>
      </c>
      <c r="J292" s="117">
        <f t="shared" si="30"/>
        <v>0.38010177086136365</v>
      </c>
    </row>
    <row r="293" spans="1:10" ht="9.75">
      <c r="A293" s="113" t="s">
        <v>56</v>
      </c>
      <c r="H293" s="108">
        <f>'2019 Certified Estimate'!H300</f>
        <v>-1105313</v>
      </c>
      <c r="I293" s="108">
        <v>-1132106</v>
      </c>
      <c r="J293" s="117">
        <f t="shared" si="30"/>
        <v>0.024240192597029076</v>
      </c>
    </row>
    <row r="294" spans="1:10" ht="9.75">
      <c r="A294" s="113" t="s">
        <v>57</v>
      </c>
      <c r="H294" s="108">
        <f>'2019 Certified Estimate'!H301</f>
        <v>-18304372</v>
      </c>
      <c r="I294" s="108">
        <v>-17565935</v>
      </c>
      <c r="J294" s="117">
        <f t="shared" si="30"/>
        <v>-0.04034211061707006</v>
      </c>
    </row>
    <row r="295" spans="1:10" ht="9.75">
      <c r="A295" s="113" t="s">
        <v>58</v>
      </c>
      <c r="H295" s="108">
        <f>'2019 Certified Estimate'!H302</f>
        <v>0</v>
      </c>
      <c r="I295" s="108">
        <v>0</v>
      </c>
      <c r="J295" s="117">
        <v>0</v>
      </c>
    </row>
    <row r="296" spans="1:10" ht="10.5" thickBot="1">
      <c r="A296" s="113" t="s">
        <v>59</v>
      </c>
      <c r="H296" s="108">
        <f>'2019 Certified Estimate'!H303</f>
        <v>0</v>
      </c>
      <c r="I296" s="108">
        <v>0</v>
      </c>
      <c r="J296" s="117">
        <v>0</v>
      </c>
    </row>
    <row r="297" spans="1:10" ht="10.5" thickBot="1">
      <c r="A297" s="250" t="s">
        <v>60</v>
      </c>
      <c r="B297" s="253"/>
      <c r="C297" s="253"/>
      <c r="D297" s="253"/>
      <c r="E297" s="253"/>
      <c r="F297" s="253"/>
      <c r="G297" s="253"/>
      <c r="H297" s="254">
        <f>SUM(H285:H296)</f>
        <v>405695890</v>
      </c>
      <c r="I297" s="257">
        <f>SUM(I285:I296)</f>
        <v>425198029</v>
      </c>
      <c r="J297" s="256">
        <f>(I297-H297)/H297</f>
        <v>0.048070832070790756</v>
      </c>
    </row>
    <row r="298" spans="1:9" ht="9.75">
      <c r="A298" s="121" t="s">
        <v>61</v>
      </c>
      <c r="E298" s="108">
        <f>'2019 Certified Estimate'!E305</f>
        <v>17789753</v>
      </c>
      <c r="F298" s="118">
        <v>17740959</v>
      </c>
      <c r="G298" s="123">
        <f>(F298-E298)/E298</f>
        <v>-0.002742814922725459</v>
      </c>
      <c r="H298" s="124"/>
      <c r="I298" s="125"/>
    </row>
    <row r="299" spans="1:9" ht="9.75">
      <c r="A299" s="121" t="s">
        <v>19</v>
      </c>
      <c r="E299" s="127">
        <f>'2019 Certified Estimate'!E306</f>
        <v>168985.59</v>
      </c>
      <c r="F299" s="137">
        <v>141192.26</v>
      </c>
      <c r="G299" s="123">
        <f>(F299-E299)/E299</f>
        <v>-0.1644715978445262</v>
      </c>
      <c r="H299" s="124"/>
      <c r="I299" s="125"/>
    </row>
    <row r="300" spans="1:9" ht="9.75">
      <c r="A300" s="121" t="str">
        <f>A186</f>
        <v>2014 Adpoted/2014 Revenue Neutral Tax Rate</v>
      </c>
      <c r="E300" s="249">
        <v>1.14</v>
      </c>
      <c r="F300" s="141">
        <v>1.33458</v>
      </c>
      <c r="G300" s="123"/>
      <c r="H300" s="112"/>
      <c r="I300" s="108"/>
    </row>
    <row r="301" spans="1:10" ht="9.75">
      <c r="A301" s="121" t="s">
        <v>62</v>
      </c>
      <c r="B301" s="104"/>
      <c r="C301" s="104"/>
      <c r="D301" s="104"/>
      <c r="E301" s="104"/>
      <c r="F301" s="104"/>
      <c r="G301" s="104"/>
      <c r="H301" s="125">
        <f>(H297-E298)*E300/100+E299</f>
        <v>4591115.5518</v>
      </c>
      <c r="I301" s="125">
        <f>(I297-F298)*F300/100+F299</f>
        <v>5579032.824806</v>
      </c>
      <c r="J301" s="123">
        <f>(I301-H301)/H301</f>
        <v>0.21518022403480483</v>
      </c>
    </row>
    <row r="302" spans="1:10" ht="9.75">
      <c r="A302" s="121" t="s">
        <v>18</v>
      </c>
      <c r="H302" s="108">
        <f>'2019 Certified Estimate'!H309</f>
        <v>2042715</v>
      </c>
      <c r="I302" s="118">
        <v>4883353</v>
      </c>
      <c r="J302" s="123">
        <f>(I302-H302)/H302</f>
        <v>1.3906188577456964</v>
      </c>
    </row>
    <row r="303" spans="1:10" ht="9.75">
      <c r="A303" s="121" t="s">
        <v>17</v>
      </c>
      <c r="H303" s="108">
        <f>'2019 Certified Estimate'!H310</f>
        <v>19185</v>
      </c>
      <c r="I303" s="118">
        <v>15517</v>
      </c>
      <c r="J303" s="123">
        <f>(I303-H303)/H303</f>
        <v>-0.19119103466249673</v>
      </c>
    </row>
    <row r="304" spans="1:10" s="136" customFormat="1" ht="10.5" thickBot="1">
      <c r="A304" s="132"/>
      <c r="H304" s="140"/>
      <c r="I304" s="140"/>
      <c r="J304" s="135"/>
    </row>
    <row r="305" spans="1:11" ht="10.5" thickBot="1">
      <c r="A305" s="267" t="s">
        <v>8</v>
      </c>
      <c r="B305" s="95" t="s">
        <v>32</v>
      </c>
      <c r="C305" s="96"/>
      <c r="D305" s="97"/>
      <c r="E305" s="95" t="s">
        <v>33</v>
      </c>
      <c r="F305" s="96"/>
      <c r="G305" s="97"/>
      <c r="H305" s="95" t="s">
        <v>34</v>
      </c>
      <c r="I305" s="96"/>
      <c r="J305" s="97"/>
      <c r="K305" s="99"/>
    </row>
    <row r="306" spans="1:11" ht="9.75">
      <c r="A306" s="9" t="s">
        <v>35</v>
      </c>
      <c r="B306" s="101" t="s">
        <v>193</v>
      </c>
      <c r="C306" s="102" t="s">
        <v>188</v>
      </c>
      <c r="D306" s="100" t="s">
        <v>67</v>
      </c>
      <c r="E306" s="101" t="str">
        <f>B306</f>
        <v>2013 Certified</v>
      </c>
      <c r="F306" s="102" t="s">
        <v>188</v>
      </c>
      <c r="G306" s="100" t="s">
        <v>67</v>
      </c>
      <c r="H306" s="101" t="s">
        <v>187</v>
      </c>
      <c r="I306" s="102" t="s">
        <v>189</v>
      </c>
      <c r="J306" s="100" t="s">
        <v>67</v>
      </c>
      <c r="K306" s="207" t="s">
        <v>71</v>
      </c>
    </row>
    <row r="307" spans="2:11" ht="9.75">
      <c r="B307" s="103"/>
      <c r="C307" s="104"/>
      <c r="D307" s="105"/>
      <c r="E307" s="103"/>
      <c r="F307" s="104"/>
      <c r="G307" s="105"/>
      <c r="H307" s="103"/>
      <c r="I307" s="104"/>
      <c r="J307" s="105"/>
      <c r="K307" s="106"/>
    </row>
    <row r="308" spans="1:11" ht="9.75">
      <c r="A308" s="9" t="s">
        <v>36</v>
      </c>
      <c r="B308" s="107">
        <v>0</v>
      </c>
      <c r="C308" s="108">
        <v>0</v>
      </c>
      <c r="D308" s="105"/>
      <c r="E308" s="108">
        <f>'2019 Certified Estimate'!E316</f>
        <v>1704786820</v>
      </c>
      <c r="F308" s="108">
        <v>1434732400</v>
      </c>
      <c r="G308" s="110">
        <f>(F308-E308)/E308</f>
        <v>-0.15840949544647465</v>
      </c>
      <c r="H308" s="107">
        <f aca="true" t="shared" si="31" ref="H308:I318">B308+E308</f>
        <v>1704786820</v>
      </c>
      <c r="I308" s="108">
        <f t="shared" si="31"/>
        <v>1434732400</v>
      </c>
      <c r="J308" s="110">
        <f aca="true" t="shared" si="32" ref="J308:J327">(I308-H308)/H308</f>
        <v>-0.15840949544647465</v>
      </c>
      <c r="K308" s="111">
        <f>I308/I319</f>
        <v>0.18373014453849687</v>
      </c>
    </row>
    <row r="309" spans="1:11" ht="9.75">
      <c r="A309" s="9" t="s">
        <v>37</v>
      </c>
      <c r="B309" s="107">
        <v>0</v>
      </c>
      <c r="C309" s="108">
        <v>0</v>
      </c>
      <c r="D309" s="105"/>
      <c r="E309" s="108">
        <f>'2019 Certified Estimate'!E317</f>
        <v>82704660</v>
      </c>
      <c r="F309" s="108">
        <v>55807410</v>
      </c>
      <c r="G309" s="110">
        <f>(F309-E309)/E309</f>
        <v>-0.32522048938959425</v>
      </c>
      <c r="H309" s="107">
        <f t="shared" si="31"/>
        <v>82704660</v>
      </c>
      <c r="I309" s="108">
        <f t="shared" si="31"/>
        <v>55807410</v>
      </c>
      <c r="J309" s="110">
        <f t="shared" si="32"/>
        <v>-0.32522048938959425</v>
      </c>
      <c r="K309" s="111">
        <f>I309/I319</f>
        <v>0.00714663131997239</v>
      </c>
    </row>
    <row r="310" spans="1:11" ht="9.75">
      <c r="A310" s="9" t="s">
        <v>38</v>
      </c>
      <c r="B310" s="107">
        <v>0</v>
      </c>
      <c r="C310" s="108">
        <v>0</v>
      </c>
      <c r="D310" s="105"/>
      <c r="E310" s="108">
        <f>'2019 Certified Estimate'!E318</f>
        <v>47566920</v>
      </c>
      <c r="F310" s="108">
        <v>72579900</v>
      </c>
      <c r="G310" s="110">
        <f>(F310-E310)/E310</f>
        <v>0.5258482155245704</v>
      </c>
      <c r="H310" s="107">
        <f t="shared" si="31"/>
        <v>47566920</v>
      </c>
      <c r="I310" s="108">
        <f t="shared" si="31"/>
        <v>72579900</v>
      </c>
      <c r="J310" s="110">
        <f t="shared" si="32"/>
        <v>0.5258482155245704</v>
      </c>
      <c r="K310" s="111">
        <f>I310/I319</f>
        <v>0.009294496672403613</v>
      </c>
    </row>
    <row r="311" spans="1:11" ht="9.75">
      <c r="A311" s="9" t="s">
        <v>39</v>
      </c>
      <c r="B311" s="107">
        <v>0</v>
      </c>
      <c r="C311" s="108">
        <v>0</v>
      </c>
      <c r="D311" s="105"/>
      <c r="E311" s="108">
        <f>'2019 Certified Estimate'!E319</f>
        <v>2045208090</v>
      </c>
      <c r="F311" s="108">
        <v>1926817850</v>
      </c>
      <c r="G311" s="110">
        <f>(F311-E311)/E311</f>
        <v>-0.05788664761246862</v>
      </c>
      <c r="H311" s="107">
        <f t="shared" si="31"/>
        <v>2045208090</v>
      </c>
      <c r="I311" s="108">
        <f t="shared" si="31"/>
        <v>1926817850</v>
      </c>
      <c r="J311" s="110">
        <f t="shared" si="32"/>
        <v>-0.05788664761246862</v>
      </c>
      <c r="K311" s="111">
        <f>I311/I319</f>
        <v>0.24674602879244642</v>
      </c>
    </row>
    <row r="312" spans="1:11" ht="9.75">
      <c r="A312" s="9" t="s">
        <v>40</v>
      </c>
      <c r="B312" s="107">
        <v>0</v>
      </c>
      <c r="C312" s="108">
        <v>0</v>
      </c>
      <c r="D312" s="110"/>
      <c r="E312" s="108">
        <f>'2019 Certified Estimate'!E320</f>
        <v>393886788</v>
      </c>
      <c r="F312" s="108">
        <v>1357553980</v>
      </c>
      <c r="G312" s="110">
        <f>(F312-E312)/E312</f>
        <v>2.4465588117162236</v>
      </c>
      <c r="H312" s="107">
        <f t="shared" si="31"/>
        <v>393886788</v>
      </c>
      <c r="I312" s="108">
        <f t="shared" si="31"/>
        <v>1357553980</v>
      </c>
      <c r="J312" s="110">
        <f t="shared" si="32"/>
        <v>2.4465588117162236</v>
      </c>
      <c r="K312" s="111">
        <f>I312/I319</f>
        <v>0.17384676680070213</v>
      </c>
    </row>
    <row r="313" spans="1:11" ht="9.75">
      <c r="A313" s="9" t="s">
        <v>41</v>
      </c>
      <c r="B313" s="107">
        <f>'2019 Certified Estimate'!B321</f>
        <v>367058220</v>
      </c>
      <c r="C313" s="109">
        <v>867655260</v>
      </c>
      <c r="D313" s="110">
        <f>(C313-B313)/B313</f>
        <v>1.3638082808770773</v>
      </c>
      <c r="E313" s="108">
        <f>'2019 Certified Estimate'!E321</f>
        <v>0</v>
      </c>
      <c r="F313" s="108">
        <v>0</v>
      </c>
      <c r="G313" s="110">
        <v>0</v>
      </c>
      <c r="H313" s="107">
        <f t="shared" si="31"/>
        <v>367058220</v>
      </c>
      <c r="I313" s="108">
        <f t="shared" si="31"/>
        <v>867655260</v>
      </c>
      <c r="J313" s="110">
        <f t="shared" si="32"/>
        <v>1.3638082808770773</v>
      </c>
      <c r="K313" s="111">
        <f>I313/I319</f>
        <v>0.11111091261993322</v>
      </c>
    </row>
    <row r="314" spans="1:11" ht="9.75">
      <c r="A314" s="9" t="s">
        <v>42</v>
      </c>
      <c r="B314" s="107">
        <f>'2019 Certified Estimate'!B322</f>
        <v>382095990</v>
      </c>
      <c r="C314" s="109">
        <v>272509150</v>
      </c>
      <c r="D314" s="110">
        <f>(C314-B314)/B314</f>
        <v>-0.28680447549318694</v>
      </c>
      <c r="E314" s="108">
        <f>'2019 Certified Estimate'!E322</f>
        <v>9999470</v>
      </c>
      <c r="F314" s="108">
        <v>9573130</v>
      </c>
      <c r="G314" s="110">
        <f aca="true" t="shared" si="33" ref="G314:G319">(F314-E314)/E314</f>
        <v>-0.042636259721765254</v>
      </c>
      <c r="H314" s="107">
        <f t="shared" si="31"/>
        <v>392095460</v>
      </c>
      <c r="I314" s="108">
        <f t="shared" si="31"/>
        <v>282082280</v>
      </c>
      <c r="J314" s="110">
        <f t="shared" si="32"/>
        <v>-0.28057754098963555</v>
      </c>
      <c r="K314" s="111">
        <f>I314/I319</f>
        <v>0.03612312517382945</v>
      </c>
    </row>
    <row r="315" spans="1:11" ht="9.75">
      <c r="A315" s="9" t="s">
        <v>43</v>
      </c>
      <c r="B315" s="107">
        <f>'2019 Certified Estimate'!B323</f>
        <v>1305889820</v>
      </c>
      <c r="C315" s="109">
        <v>1238210090</v>
      </c>
      <c r="D315" s="110">
        <f>(C315-B315)/B315</f>
        <v>-0.051826523925272656</v>
      </c>
      <c r="E315" s="108">
        <f>'2019 Certified Estimate'!E323</f>
        <v>267803030</v>
      </c>
      <c r="F315" s="108">
        <v>254851510</v>
      </c>
      <c r="G315" s="110">
        <f t="shared" si="33"/>
        <v>-0.04836211151158372</v>
      </c>
      <c r="H315" s="107">
        <f t="shared" si="31"/>
        <v>1573692850</v>
      </c>
      <c r="I315" s="108">
        <f t="shared" si="31"/>
        <v>1493061600</v>
      </c>
      <c r="J315" s="110">
        <f t="shared" si="32"/>
        <v>-0.05123696787463958</v>
      </c>
      <c r="K315" s="111">
        <f>I315/I319</f>
        <v>0.19119971332136876</v>
      </c>
    </row>
    <row r="316" spans="1:11" ht="9.75">
      <c r="A316" s="9" t="s">
        <v>44</v>
      </c>
      <c r="B316" s="107">
        <v>0</v>
      </c>
      <c r="C316" s="108">
        <v>0</v>
      </c>
      <c r="D316" s="110"/>
      <c r="E316" s="108">
        <f>'2019 Certified Estimate'!E324</f>
        <v>52295490</v>
      </c>
      <c r="F316" s="108">
        <v>52652090</v>
      </c>
      <c r="G316" s="110">
        <f t="shared" si="33"/>
        <v>0.006818943660342412</v>
      </c>
      <c r="H316" s="107">
        <f t="shared" si="31"/>
        <v>52295490</v>
      </c>
      <c r="I316" s="108">
        <f t="shared" si="31"/>
        <v>52652090</v>
      </c>
      <c r="J316" s="110">
        <f t="shared" si="32"/>
        <v>0.006818943660342412</v>
      </c>
      <c r="K316" s="111">
        <f>I316/I319</f>
        <v>0.006742564750021638</v>
      </c>
    </row>
    <row r="317" spans="1:11" ht="9.75">
      <c r="A317" s="9" t="s">
        <v>45</v>
      </c>
      <c r="B317" s="107">
        <v>0</v>
      </c>
      <c r="C317" s="108">
        <v>0</v>
      </c>
      <c r="D317" s="110"/>
      <c r="E317" s="108">
        <f>'2019 Certified Estimate'!E325</f>
        <v>22332790</v>
      </c>
      <c r="F317" s="108">
        <v>15987380</v>
      </c>
      <c r="G317" s="110">
        <f t="shared" si="33"/>
        <v>-0.2841297482311883</v>
      </c>
      <c r="H317" s="107">
        <f t="shared" si="31"/>
        <v>22332790</v>
      </c>
      <c r="I317" s="108">
        <f t="shared" si="31"/>
        <v>15987380</v>
      </c>
      <c r="J317" s="110">
        <f t="shared" si="32"/>
        <v>-0.2841297482311883</v>
      </c>
      <c r="K317" s="111">
        <f>I317/I319</f>
        <v>0.002047325088770473</v>
      </c>
    </row>
    <row r="318" spans="1:11" ht="10.5" thickBot="1">
      <c r="A318" s="9" t="s">
        <v>46</v>
      </c>
      <c r="B318" s="107">
        <v>0</v>
      </c>
      <c r="C318" s="108">
        <v>0</v>
      </c>
      <c r="D318" s="110"/>
      <c r="E318" s="108">
        <f>'2019 Certified Estimate'!E326</f>
        <v>355640630</v>
      </c>
      <c r="F318" s="108">
        <v>249981140</v>
      </c>
      <c r="G318" s="110">
        <f t="shared" si="33"/>
        <v>-0.29709622885326686</v>
      </c>
      <c r="H318" s="107">
        <f t="shared" si="31"/>
        <v>355640630</v>
      </c>
      <c r="I318" s="108">
        <f t="shared" si="31"/>
        <v>249981140</v>
      </c>
      <c r="J318" s="110">
        <f t="shared" si="32"/>
        <v>-0.29709622885326686</v>
      </c>
      <c r="K318" s="111">
        <f>I318/I319</f>
        <v>0.03201229092205503</v>
      </c>
    </row>
    <row r="319" spans="1:11" ht="10.5" thickBot="1">
      <c r="A319" s="250" t="s">
        <v>47</v>
      </c>
      <c r="B319" s="259">
        <f>SUM(B308:B318)</f>
        <v>2055044030</v>
      </c>
      <c r="C319" s="260">
        <f>SUM(C308:C318)</f>
        <v>2378374500</v>
      </c>
      <c r="D319" s="256">
        <f>(C319-B319)/B319</f>
        <v>0.1573350571958305</v>
      </c>
      <c r="E319" s="259">
        <f>SUM(E308:E318)</f>
        <v>4982224688</v>
      </c>
      <c r="F319" s="260">
        <f>SUM(F308:F318)</f>
        <v>5430536790</v>
      </c>
      <c r="G319" s="256">
        <f t="shared" si="33"/>
        <v>0.08998231313810229</v>
      </c>
      <c r="H319" s="263">
        <f>SUM(H308:H318)</f>
        <v>7037268718</v>
      </c>
      <c r="I319" s="255">
        <f>SUM(I308:I318)</f>
        <v>7808911290</v>
      </c>
      <c r="J319" s="264">
        <f t="shared" si="32"/>
        <v>0.10965086071337371</v>
      </c>
      <c r="K319" s="261">
        <f>SUM(K308:K318)</f>
        <v>1</v>
      </c>
    </row>
    <row r="320" spans="1:10" ht="9.75">
      <c r="A320" s="113" t="str">
        <f>A16</f>
        <v>Less Minimum Value Loss</v>
      </c>
      <c r="H320" s="108">
        <f>'2019 Certified Estimate'!H328</f>
        <v>0</v>
      </c>
      <c r="I320" s="108">
        <v>0</v>
      </c>
      <c r="J320" s="117">
        <v>0</v>
      </c>
    </row>
    <row r="321" spans="1:10" ht="9.75">
      <c r="A321" s="113" t="s">
        <v>174</v>
      </c>
      <c r="H321" s="108">
        <f>'2019 Certified Estimate'!H329</f>
        <v>-8559580</v>
      </c>
      <c r="I321" s="108">
        <v>-8121250</v>
      </c>
      <c r="J321" s="117">
        <f t="shared" si="32"/>
        <v>-0.05120928830620194</v>
      </c>
    </row>
    <row r="322" spans="1:10" ht="10.5" thickBot="1">
      <c r="A322" s="113" t="s">
        <v>49</v>
      </c>
      <c r="H322" s="108">
        <f>'2019 Certified Estimate'!H330</f>
        <v>-635315740</v>
      </c>
      <c r="I322" s="108">
        <v>-593480400</v>
      </c>
      <c r="J322" s="117">
        <f t="shared" si="32"/>
        <v>-0.06584968286792328</v>
      </c>
    </row>
    <row r="323" spans="1:10" ht="10.5" thickBot="1">
      <c r="A323" s="250" t="s">
        <v>50</v>
      </c>
      <c r="B323" s="253"/>
      <c r="C323" s="253"/>
      <c r="D323" s="253"/>
      <c r="E323" s="253"/>
      <c r="F323" s="253"/>
      <c r="G323" s="253"/>
      <c r="H323" s="254">
        <f>SUM(H319:H322)</f>
        <v>6393393398</v>
      </c>
      <c r="I323" s="254">
        <f>SUM(I319:I322)</f>
        <v>7207309640</v>
      </c>
      <c r="J323" s="256">
        <f t="shared" si="32"/>
        <v>0.1273058282718238</v>
      </c>
    </row>
    <row r="324" spans="1:10" ht="9.75">
      <c r="A324" s="113" t="s">
        <v>127</v>
      </c>
      <c r="F324" s="144"/>
      <c r="H324" s="108">
        <f>'2019 Certified Estimate'!H332</f>
        <v>-2173726</v>
      </c>
      <c r="I324" s="108">
        <v>-1714290</v>
      </c>
      <c r="J324" s="117">
        <f t="shared" si="32"/>
        <v>-0.21135874530644616</v>
      </c>
    </row>
    <row r="325" spans="1:10" ht="9.75">
      <c r="A325" s="113" t="s">
        <v>78</v>
      </c>
      <c r="F325" s="130"/>
      <c r="H325" s="108">
        <f>'2019 Certified Estimate'!H333</f>
        <v>-315378514</v>
      </c>
      <c r="I325" s="108">
        <v>-287208135</v>
      </c>
      <c r="J325" s="117">
        <f t="shared" si="32"/>
        <v>-0.08932244192132886</v>
      </c>
    </row>
    <row r="326" spans="1:10" ht="9.75">
      <c r="A326" s="113" t="s">
        <v>128</v>
      </c>
      <c r="F326" s="130"/>
      <c r="H326" s="108">
        <f>'2019 Certified Estimate'!H334</f>
        <v>-23171350</v>
      </c>
      <c r="I326" s="108">
        <v>-48331690</v>
      </c>
      <c r="J326" s="117">
        <f t="shared" si="32"/>
        <v>1.0858383305245487</v>
      </c>
    </row>
    <row r="327" spans="1:12" ht="9.75">
      <c r="A327" s="113" t="s">
        <v>157</v>
      </c>
      <c r="F327" s="130"/>
      <c r="H327" s="108">
        <f>'2019 Certified Estimate'!H335</f>
        <v>-371913938</v>
      </c>
      <c r="I327" s="108">
        <v>-256342777</v>
      </c>
      <c r="J327" s="117">
        <f t="shared" si="32"/>
        <v>-0.31074705514263357</v>
      </c>
      <c r="L327" s="112"/>
    </row>
    <row r="328" spans="1:12" ht="9.75">
      <c r="A328" s="113" t="s">
        <v>53</v>
      </c>
      <c r="F328" s="130"/>
      <c r="H328" s="108">
        <v>0</v>
      </c>
      <c r="I328" s="108">
        <v>0</v>
      </c>
      <c r="J328" s="117">
        <v>0</v>
      </c>
      <c r="L328" s="112"/>
    </row>
    <row r="329" spans="1:12" ht="9.75">
      <c r="A329" s="113" t="s">
        <v>54</v>
      </c>
      <c r="H329" s="108">
        <v>0</v>
      </c>
      <c r="I329" s="108">
        <v>0</v>
      </c>
      <c r="J329" s="117">
        <v>0</v>
      </c>
      <c r="L329" s="112"/>
    </row>
    <row r="330" spans="1:12" ht="9.75">
      <c r="A330" s="113" t="s">
        <v>55</v>
      </c>
      <c r="F330" s="130"/>
      <c r="H330" s="108">
        <f>'2019 Certified Estimate'!H338</f>
        <v>0</v>
      </c>
      <c r="I330" s="108">
        <v>0</v>
      </c>
      <c r="J330" s="117">
        <v>0</v>
      </c>
      <c r="L330" s="112"/>
    </row>
    <row r="331" spans="1:12" ht="9.75">
      <c r="A331" s="113" t="s">
        <v>56</v>
      </c>
      <c r="H331" s="108">
        <f>'2019 Certified Estimate'!H339</f>
        <v>-32225794</v>
      </c>
      <c r="I331" s="108">
        <v>-21939139</v>
      </c>
      <c r="J331" s="117">
        <f>(I331-H331)/H331</f>
        <v>-0.3192056338472219</v>
      </c>
      <c r="L331" s="112"/>
    </row>
    <row r="332" spans="1:12" ht="9.75">
      <c r="A332" s="113" t="s">
        <v>57</v>
      </c>
      <c r="F332" s="130"/>
      <c r="H332" s="108">
        <f>'2019 Certified Estimate'!H340</f>
        <v>-423730549</v>
      </c>
      <c r="I332" s="108">
        <v>-378498921</v>
      </c>
      <c r="J332" s="117">
        <f>(I332-H332)/H332</f>
        <v>-0.10674620488597342</v>
      </c>
      <c r="L332" s="112"/>
    </row>
    <row r="333" spans="1:12" ht="9.75">
      <c r="A333" s="113" t="s">
        <v>58</v>
      </c>
      <c r="H333" s="108">
        <f>'2019 Certified Estimate'!H341</f>
        <v>-41816407</v>
      </c>
      <c r="I333" s="108">
        <v>-37446386</v>
      </c>
      <c r="J333" s="117">
        <f>(I333-H333)/H333</f>
        <v>-0.10450493749977133</v>
      </c>
      <c r="L333" s="112"/>
    </row>
    <row r="334" spans="1:12" ht="10.5" thickBot="1">
      <c r="A334" s="113" t="s">
        <v>59</v>
      </c>
      <c r="H334" s="108">
        <f>'2019 Certified Estimate'!H342</f>
        <v>0</v>
      </c>
      <c r="I334" s="119">
        <v>0</v>
      </c>
      <c r="J334" s="117">
        <v>0</v>
      </c>
      <c r="L334" s="112"/>
    </row>
    <row r="335" spans="1:12" ht="10.5" thickBot="1">
      <c r="A335" s="250" t="s">
        <v>60</v>
      </c>
      <c r="B335" s="253"/>
      <c r="C335" s="253"/>
      <c r="D335" s="253"/>
      <c r="E335" s="253"/>
      <c r="F335" s="253"/>
      <c r="G335" s="253"/>
      <c r="H335" s="254">
        <f>SUM(H323:H334)</f>
        <v>5182983120</v>
      </c>
      <c r="I335" s="255">
        <f>SUM(I323:I334)</f>
        <v>6175828302</v>
      </c>
      <c r="J335" s="256">
        <f>(I335-H335)/H335</f>
        <v>0.1915586369881907</v>
      </c>
      <c r="L335" s="112"/>
    </row>
    <row r="336" spans="1:12" ht="10.5">
      <c r="A336" s="9" t="s">
        <v>61</v>
      </c>
      <c r="E336" s="108">
        <f>'2019 Certified Estimate'!E344</f>
        <v>517472744</v>
      </c>
      <c r="F336" s="112">
        <v>415607428</v>
      </c>
      <c r="G336" s="123">
        <f>(F336-E336)/E336</f>
        <v>-0.19685155823395406</v>
      </c>
      <c r="H336" s="124"/>
      <c r="I336" s="125"/>
      <c r="J336" s="146"/>
      <c r="L336" s="112"/>
    </row>
    <row r="337" spans="1:12" ht="10.5">
      <c r="A337" s="146" t="s">
        <v>19</v>
      </c>
      <c r="B337" s="104"/>
      <c r="C337" s="104"/>
      <c r="D337" s="104"/>
      <c r="E337" s="127">
        <f>'2019 Certified Estimate'!E345</f>
        <v>1563168.68</v>
      </c>
      <c r="F337" s="127">
        <v>1214082.35</v>
      </c>
      <c r="G337" s="123">
        <f>(F337-E337)/E337</f>
        <v>-0.2233196803815183</v>
      </c>
      <c r="H337" s="124"/>
      <c r="I337" s="125"/>
      <c r="J337" s="146"/>
      <c r="K337" s="130"/>
      <c r="L337" s="112"/>
    </row>
    <row r="338" spans="1:12" ht="10.5">
      <c r="A338" s="121" t="str">
        <f>A300</f>
        <v>2014 Adpoted/2014 Revenue Neutral Tax Rate</v>
      </c>
      <c r="E338" s="249">
        <v>0.3169</v>
      </c>
      <c r="F338" s="9">
        <v>0.315805</v>
      </c>
      <c r="G338" s="123">
        <f>(F338-E338)/E338</f>
        <v>-0.0034553486904386637</v>
      </c>
      <c r="H338" s="147"/>
      <c r="I338" s="148"/>
      <c r="J338" s="146"/>
      <c r="K338" s="130"/>
      <c r="L338" s="112"/>
    </row>
    <row r="339" spans="1:12" ht="10.5">
      <c r="A339" s="121" t="s">
        <v>62</v>
      </c>
      <c r="H339" s="125">
        <f>(H335-E336)*E338/100+E337</f>
        <v>16348171.061544001</v>
      </c>
      <c r="I339" s="125">
        <f>(I335-F336)*F338/100+F337</f>
        <v>19405147.881135702</v>
      </c>
      <c r="J339" s="123">
        <f>(I339-H339)/H339</f>
        <v>0.1869919765387496</v>
      </c>
      <c r="K339" s="146"/>
      <c r="L339" s="112"/>
    </row>
    <row r="340" spans="1:12" ht="10.5">
      <c r="A340" s="121" t="s">
        <v>18</v>
      </c>
      <c r="H340" s="108">
        <f>'2019 Certified Estimate'!H348</f>
        <v>59020876</v>
      </c>
      <c r="I340" s="118">
        <v>95479832</v>
      </c>
      <c r="J340" s="123">
        <f>(I340-H340)/H340</f>
        <v>0.6177298351180013</v>
      </c>
      <c r="K340" s="146"/>
      <c r="L340" s="149"/>
    </row>
    <row r="341" spans="1:12" ht="10.5">
      <c r="A341" s="121" t="s">
        <v>17</v>
      </c>
      <c r="H341" s="108">
        <f>'2019 Certified Estimate'!H349</f>
        <v>201209</v>
      </c>
      <c r="I341" s="118">
        <v>181890</v>
      </c>
      <c r="J341" s="123">
        <f>(I341-H341)/H341</f>
        <v>-0.09601459179261365</v>
      </c>
      <c r="K341" s="146"/>
      <c r="L341" s="149"/>
    </row>
    <row r="342" spans="1:12" s="136" customFormat="1" ht="10.5" thickBot="1">
      <c r="A342" s="132"/>
      <c r="H342" s="140"/>
      <c r="I342" s="140"/>
      <c r="J342" s="135"/>
      <c r="K342" s="150"/>
      <c r="L342" s="151"/>
    </row>
    <row r="343" spans="1:12" ht="10.5" thickBot="1">
      <c r="A343" s="267" t="s">
        <v>6</v>
      </c>
      <c r="B343" s="95" t="s">
        <v>32</v>
      </c>
      <c r="C343" s="96"/>
      <c r="D343" s="97"/>
      <c r="E343" s="98" t="s">
        <v>33</v>
      </c>
      <c r="F343" s="96"/>
      <c r="G343" s="97"/>
      <c r="H343" s="98" t="s">
        <v>34</v>
      </c>
      <c r="I343" s="96"/>
      <c r="J343" s="97"/>
      <c r="K343" s="99"/>
      <c r="L343" s="112"/>
    </row>
    <row r="344" spans="1:12" ht="9.75">
      <c r="A344" s="9" t="s">
        <v>35</v>
      </c>
      <c r="B344" s="101" t="s">
        <v>193</v>
      </c>
      <c r="C344" s="102" t="s">
        <v>188</v>
      </c>
      <c r="D344" s="100" t="s">
        <v>67</v>
      </c>
      <c r="E344" s="102" t="str">
        <f>B344</f>
        <v>2013 Certified</v>
      </c>
      <c r="F344" s="102" t="s">
        <v>188</v>
      </c>
      <c r="G344" s="100" t="s">
        <v>67</v>
      </c>
      <c r="H344" s="102" t="s">
        <v>187</v>
      </c>
      <c r="I344" s="102" t="s">
        <v>189</v>
      </c>
      <c r="J344" s="100" t="s">
        <v>67</v>
      </c>
      <c r="K344" s="207" t="s">
        <v>71</v>
      </c>
      <c r="L344" s="112"/>
    </row>
    <row r="345" spans="2:12" ht="9.75">
      <c r="B345" s="103"/>
      <c r="C345" s="104"/>
      <c r="D345" s="105"/>
      <c r="E345" s="104"/>
      <c r="F345" s="104"/>
      <c r="G345" s="105"/>
      <c r="H345" s="104"/>
      <c r="I345" s="104"/>
      <c r="J345" s="105"/>
      <c r="K345" s="106"/>
      <c r="L345" s="112"/>
    </row>
    <row r="346" spans="1:11" ht="9.75">
      <c r="A346" s="9" t="s">
        <v>36</v>
      </c>
      <c r="B346" s="107">
        <v>0</v>
      </c>
      <c r="C346" s="108">
        <v>0</v>
      </c>
      <c r="D346" s="105"/>
      <c r="E346" s="108">
        <f>'2019 Certified Estimate'!E355</f>
        <v>654632490</v>
      </c>
      <c r="F346" s="108">
        <v>552899250</v>
      </c>
      <c r="G346" s="110">
        <f>(F346-E346)/E346</f>
        <v>-0.1554051189851576</v>
      </c>
      <c r="H346" s="108">
        <f aca="true" t="shared" si="34" ref="H346:I356">B346+E346</f>
        <v>654632490</v>
      </c>
      <c r="I346" s="108">
        <f t="shared" si="34"/>
        <v>552899250</v>
      </c>
      <c r="J346" s="110">
        <f aca="true" t="shared" si="35" ref="J346:J365">(I346-H346)/H346</f>
        <v>-0.1554051189851576</v>
      </c>
      <c r="K346" s="111">
        <f>I346/I357</f>
        <v>0.4248328907683772</v>
      </c>
    </row>
    <row r="347" spans="1:11" ht="9.75">
      <c r="A347" s="9" t="s">
        <v>37</v>
      </c>
      <c r="B347" s="107">
        <v>0</v>
      </c>
      <c r="C347" s="108">
        <v>0</v>
      </c>
      <c r="D347" s="105"/>
      <c r="E347" s="108">
        <f>'2019 Certified Estimate'!E356</f>
        <v>45595840</v>
      </c>
      <c r="F347" s="108">
        <v>35838650</v>
      </c>
      <c r="G347" s="110">
        <f>(F347-E347)/E347</f>
        <v>-0.21399298707952305</v>
      </c>
      <c r="H347" s="108">
        <f t="shared" si="34"/>
        <v>45595840</v>
      </c>
      <c r="I347" s="108">
        <f t="shared" si="34"/>
        <v>35838650</v>
      </c>
      <c r="J347" s="110">
        <f t="shared" si="35"/>
        <v>-0.21399298707952305</v>
      </c>
      <c r="K347" s="111">
        <f>I347/I357</f>
        <v>0.027537453307697746</v>
      </c>
    </row>
    <row r="348" spans="1:11" ht="9.75">
      <c r="A348" s="9" t="s">
        <v>38</v>
      </c>
      <c r="B348" s="107">
        <v>0</v>
      </c>
      <c r="C348" s="108">
        <v>0</v>
      </c>
      <c r="D348" s="105"/>
      <c r="E348" s="108">
        <f>'2019 Certified Estimate'!E357</f>
        <v>21169050</v>
      </c>
      <c r="F348" s="108">
        <v>21101340</v>
      </c>
      <c r="G348" s="110">
        <f>(F348-E348)/E348</f>
        <v>-0.003198537487511249</v>
      </c>
      <c r="H348" s="108">
        <f t="shared" si="34"/>
        <v>21169050</v>
      </c>
      <c r="I348" s="108">
        <f t="shared" si="34"/>
        <v>21101340</v>
      </c>
      <c r="J348" s="110">
        <f t="shared" si="35"/>
        <v>-0.003198537487511249</v>
      </c>
      <c r="K348" s="111">
        <f>I348/I357</f>
        <v>0.01621370126887745</v>
      </c>
    </row>
    <row r="349" spans="1:11" ht="9.75">
      <c r="A349" s="9" t="s">
        <v>39</v>
      </c>
      <c r="B349" s="107">
        <v>0</v>
      </c>
      <c r="C349" s="108">
        <v>0</v>
      </c>
      <c r="D349" s="105"/>
      <c r="E349" s="108">
        <f>'2019 Certified Estimate'!E358</f>
        <v>16341030</v>
      </c>
      <c r="F349" s="108">
        <v>93552610</v>
      </c>
      <c r="G349" s="110">
        <f>(F349-E349)/E349</f>
        <v>4.725013049972982</v>
      </c>
      <c r="H349" s="108">
        <f t="shared" si="34"/>
        <v>16341030</v>
      </c>
      <c r="I349" s="108">
        <f t="shared" si="34"/>
        <v>93552610</v>
      </c>
      <c r="J349" s="110">
        <f t="shared" si="35"/>
        <v>4.725013049972982</v>
      </c>
      <c r="K349" s="111">
        <f>I349/I357</f>
        <v>0.07188330558456463</v>
      </c>
    </row>
    <row r="350" spans="1:11" ht="9.75">
      <c r="A350" s="9" t="s">
        <v>40</v>
      </c>
      <c r="B350" s="107">
        <v>0</v>
      </c>
      <c r="C350" s="108">
        <v>0</v>
      </c>
      <c r="D350" s="110"/>
      <c r="E350" s="108">
        <f>'2019 Certified Estimate'!E359</f>
        <v>203623818</v>
      </c>
      <c r="F350" s="108">
        <v>211277410</v>
      </c>
      <c r="G350" s="110">
        <f>(F350-E350)/E350</f>
        <v>0.03758691922769074</v>
      </c>
      <c r="H350" s="108">
        <f t="shared" si="34"/>
        <v>203623818</v>
      </c>
      <c r="I350" s="108">
        <f t="shared" si="34"/>
        <v>211277410</v>
      </c>
      <c r="J350" s="110">
        <f t="shared" si="35"/>
        <v>0.03758691922769074</v>
      </c>
      <c r="K350" s="111">
        <f>I350/I357</f>
        <v>0.16233987086138324</v>
      </c>
    </row>
    <row r="351" spans="1:11" ht="9.75">
      <c r="A351" s="9" t="s">
        <v>41</v>
      </c>
      <c r="B351" s="107">
        <f>'2019 Certified Estimate'!B360</f>
        <v>5554140</v>
      </c>
      <c r="C351" s="109">
        <v>1057260</v>
      </c>
      <c r="D351" s="110">
        <f>(C351-B351)/B351</f>
        <v>-0.8096446974689151</v>
      </c>
      <c r="E351" s="108">
        <f>'2019 Certified Estimate'!E360</f>
        <v>0</v>
      </c>
      <c r="F351" s="108">
        <v>0</v>
      </c>
      <c r="G351" s="110">
        <v>0</v>
      </c>
      <c r="H351" s="108">
        <f t="shared" si="34"/>
        <v>5554140</v>
      </c>
      <c r="I351" s="108">
        <f t="shared" si="34"/>
        <v>1057260</v>
      </c>
      <c r="J351" s="110">
        <f t="shared" si="35"/>
        <v>-0.8096446974689151</v>
      </c>
      <c r="K351" s="111">
        <f>I351/I357</f>
        <v>0.0008123701055730759</v>
      </c>
    </row>
    <row r="352" spans="1:11" ht="9.75">
      <c r="A352" s="9" t="s">
        <v>42</v>
      </c>
      <c r="B352" s="107">
        <f>'2019 Certified Estimate'!B361</f>
        <v>37185690</v>
      </c>
      <c r="C352" s="109">
        <v>29681860</v>
      </c>
      <c r="D352" s="110">
        <f>(C352-B352)/B352</f>
        <v>-0.20179348561234173</v>
      </c>
      <c r="E352" s="108">
        <f>'2019 Certified Estimate'!E361</f>
        <v>1310240</v>
      </c>
      <c r="F352" s="108">
        <v>1438730</v>
      </c>
      <c r="G352" s="110">
        <f aca="true" t="shared" si="36" ref="G352:G357">(F352-E352)/E352</f>
        <v>0.09806600317499084</v>
      </c>
      <c r="H352" s="108">
        <f t="shared" si="34"/>
        <v>38495930</v>
      </c>
      <c r="I352" s="108">
        <f t="shared" si="34"/>
        <v>31120590</v>
      </c>
      <c r="J352" s="110">
        <f t="shared" si="35"/>
        <v>-0.19158752626576367</v>
      </c>
      <c r="K352" s="111">
        <f>I352/I357</f>
        <v>0.023912223089681262</v>
      </c>
    </row>
    <row r="353" spans="1:11" ht="9.75">
      <c r="A353" s="9" t="s">
        <v>43</v>
      </c>
      <c r="B353" s="107">
        <f>'2019 Certified Estimate'!B362</f>
        <v>67189510</v>
      </c>
      <c r="C353" s="109">
        <v>110249310</v>
      </c>
      <c r="D353" s="110">
        <f>(C353-B353)/B353</f>
        <v>0.6408708740397124</v>
      </c>
      <c r="E353" s="108">
        <f>'2019 Certified Estimate'!E362</f>
        <v>81313100</v>
      </c>
      <c r="F353" s="108">
        <v>80953760</v>
      </c>
      <c r="G353" s="110">
        <f t="shared" si="36"/>
        <v>-0.004419214124169415</v>
      </c>
      <c r="H353" s="108">
        <f t="shared" si="34"/>
        <v>148502610</v>
      </c>
      <c r="I353" s="108">
        <f t="shared" si="34"/>
        <v>191203070</v>
      </c>
      <c r="J353" s="110">
        <f t="shared" si="35"/>
        <v>0.28754013144954155</v>
      </c>
      <c r="K353" s="111">
        <f>I353/I357</f>
        <v>0.1469152887291643</v>
      </c>
    </row>
    <row r="354" spans="1:11" ht="9.75">
      <c r="A354" s="9" t="s">
        <v>44</v>
      </c>
      <c r="B354" s="107">
        <v>0</v>
      </c>
      <c r="C354" s="108">
        <v>0</v>
      </c>
      <c r="D354" s="110"/>
      <c r="E354" s="108">
        <f>'2019 Certified Estimate'!E363</f>
        <v>1925390</v>
      </c>
      <c r="F354" s="108">
        <v>2224460</v>
      </c>
      <c r="G354" s="110">
        <f t="shared" si="36"/>
        <v>0.1553295695936927</v>
      </c>
      <c r="H354" s="108">
        <f t="shared" si="34"/>
        <v>1925390</v>
      </c>
      <c r="I354" s="108">
        <f t="shared" si="34"/>
        <v>2224460</v>
      </c>
      <c r="J354" s="110">
        <f t="shared" si="35"/>
        <v>0.1553295695936927</v>
      </c>
      <c r="K354" s="111">
        <f>I354/I357</f>
        <v>0.0017092151457948701</v>
      </c>
    </row>
    <row r="355" spans="1:11" ht="9.75">
      <c r="A355" s="9" t="s">
        <v>45</v>
      </c>
      <c r="B355" s="107">
        <v>0</v>
      </c>
      <c r="C355" s="108">
        <v>0</v>
      </c>
      <c r="D355" s="110"/>
      <c r="E355" s="108">
        <f>'2019 Certified Estimate'!E364</f>
        <v>11154240</v>
      </c>
      <c r="F355" s="108">
        <v>8966370</v>
      </c>
      <c r="G355" s="110">
        <f t="shared" si="36"/>
        <v>-0.1961469360530166</v>
      </c>
      <c r="H355" s="108">
        <f t="shared" si="34"/>
        <v>11154240</v>
      </c>
      <c r="I355" s="108">
        <f t="shared" si="34"/>
        <v>8966370</v>
      </c>
      <c r="J355" s="110">
        <f t="shared" si="35"/>
        <v>-0.1961469360530166</v>
      </c>
      <c r="K355" s="111">
        <f>I355/I357</f>
        <v>0.006889517189250762</v>
      </c>
    </row>
    <row r="356" spans="1:11" ht="10.5" thickBot="1">
      <c r="A356" s="9" t="s">
        <v>64</v>
      </c>
      <c r="B356" s="107">
        <v>0</v>
      </c>
      <c r="C356" s="108">
        <v>0</v>
      </c>
      <c r="D356" s="110"/>
      <c r="E356" s="108">
        <f>'2019 Certified Estimate'!E365</f>
        <v>214473970</v>
      </c>
      <c r="F356" s="108">
        <v>152210130</v>
      </c>
      <c r="G356" s="110">
        <f t="shared" si="36"/>
        <v>-0.2903095419924385</v>
      </c>
      <c r="H356" s="108">
        <f t="shared" si="34"/>
        <v>214473970</v>
      </c>
      <c r="I356" s="108">
        <f t="shared" si="34"/>
        <v>152210130</v>
      </c>
      <c r="J356" s="110">
        <f t="shared" si="35"/>
        <v>-0.2903095419924385</v>
      </c>
      <c r="K356" s="111">
        <f>I356/I357</f>
        <v>0.11695416394963548</v>
      </c>
    </row>
    <row r="357" spans="1:11" ht="10.5" thickBot="1">
      <c r="A357" s="250" t="s">
        <v>47</v>
      </c>
      <c r="B357" s="259">
        <f>SUM(B346:B356)</f>
        <v>109929340</v>
      </c>
      <c r="C357" s="260">
        <f>SUM(C346:C356)</f>
        <v>140988430</v>
      </c>
      <c r="D357" s="265">
        <f>(C357-B357)/B357</f>
        <v>0.2825368550379726</v>
      </c>
      <c r="E357" s="259">
        <f>SUM(E346:E356)</f>
        <v>1251539168</v>
      </c>
      <c r="F357" s="260">
        <f>SUM(F346:F356)</f>
        <v>1160462710</v>
      </c>
      <c r="G357" s="256">
        <f t="shared" si="36"/>
        <v>-0.07277156027449234</v>
      </c>
      <c r="H357" s="254">
        <f>SUM(H346:H356)</f>
        <v>1361468508</v>
      </c>
      <c r="I357" s="255">
        <f>SUM(I346:I356)</f>
        <v>1301451140</v>
      </c>
      <c r="J357" s="256">
        <f t="shared" si="35"/>
        <v>-0.04408281766881676</v>
      </c>
      <c r="K357" s="261">
        <f>SUM(K346:K356)</f>
        <v>1</v>
      </c>
    </row>
    <row r="358" spans="1:10" ht="9.75">
      <c r="A358" s="113" t="str">
        <f>A16</f>
        <v>Less Minimum Value Loss</v>
      </c>
      <c r="H358" s="108">
        <f>'2019 Certified Estimate'!H367</f>
        <v>0</v>
      </c>
      <c r="I358" s="108">
        <v>0</v>
      </c>
      <c r="J358" s="117">
        <v>0</v>
      </c>
    </row>
    <row r="359" spans="1:10" ht="9.75">
      <c r="A359" s="113" t="s">
        <v>174</v>
      </c>
      <c r="H359" s="108">
        <f>'2019 Certified Estimate'!H368</f>
        <v>-1566209</v>
      </c>
      <c r="I359" s="108">
        <v>-1935640</v>
      </c>
      <c r="J359" s="117">
        <f t="shared" si="35"/>
        <v>0.2358759271591467</v>
      </c>
    </row>
    <row r="360" spans="1:10" ht="10.5" thickBot="1">
      <c r="A360" s="113" t="s">
        <v>49</v>
      </c>
      <c r="H360" s="108">
        <f>'2019 Certified Estimate'!H369</f>
        <v>-10173580</v>
      </c>
      <c r="I360" s="108">
        <v>-9738430</v>
      </c>
      <c r="J360" s="117">
        <f t="shared" si="35"/>
        <v>-0.04277255400753717</v>
      </c>
    </row>
    <row r="361" spans="1:10" ht="10.5" thickBot="1">
      <c r="A361" s="250" t="s">
        <v>50</v>
      </c>
      <c r="B361" s="253"/>
      <c r="C361" s="253"/>
      <c r="D361" s="253"/>
      <c r="E361" s="253"/>
      <c r="F361" s="253"/>
      <c r="G361" s="253"/>
      <c r="H361" s="254">
        <f>SUM(H357:H360)</f>
        <v>1349728719</v>
      </c>
      <c r="I361" s="255">
        <f>SUM(I357:I360)</f>
        <v>1289777070</v>
      </c>
      <c r="J361" s="256">
        <f t="shared" si="35"/>
        <v>-0.0444175545471223</v>
      </c>
    </row>
    <row r="362" spans="1:10" ht="9.75">
      <c r="A362" s="113" t="s">
        <v>127</v>
      </c>
      <c r="H362" s="108">
        <f>'2019 Certified Estimate'!H371</f>
        <v>-286358</v>
      </c>
      <c r="I362" s="120">
        <v>-67650</v>
      </c>
      <c r="J362" s="117">
        <f t="shared" si="35"/>
        <v>-0.7637572549046997</v>
      </c>
    </row>
    <row r="363" spans="1:10" ht="9.75">
      <c r="A363" s="113" t="s">
        <v>78</v>
      </c>
      <c r="H363" s="108">
        <f>'2019 Certified Estimate'!H372</f>
        <v>-6813914</v>
      </c>
      <c r="I363" s="118">
        <v>-5053461</v>
      </c>
      <c r="J363" s="117">
        <f t="shared" si="35"/>
        <v>-0.25836149384920326</v>
      </c>
    </row>
    <row r="364" spans="1:10" ht="9.75">
      <c r="A364" s="113" t="s">
        <v>128</v>
      </c>
      <c r="H364" s="108">
        <f>'2019 Certified Estimate'!H373</f>
        <v>-613190</v>
      </c>
      <c r="I364" s="118">
        <v>-35972461</v>
      </c>
      <c r="J364" s="117">
        <f t="shared" si="35"/>
        <v>57.66446125996836</v>
      </c>
    </row>
    <row r="365" spans="1:10" ht="9.75">
      <c r="A365" s="113" t="s">
        <v>157</v>
      </c>
      <c r="H365" s="108">
        <f>'2019 Certified Estimate'!H374</f>
        <v>-218023098</v>
      </c>
      <c r="I365" s="118">
        <v>-155492602</v>
      </c>
      <c r="J365" s="117">
        <f t="shared" si="35"/>
        <v>-0.28680674925553074</v>
      </c>
    </row>
    <row r="366" spans="1:10" ht="9.75">
      <c r="A366" s="113" t="s">
        <v>53</v>
      </c>
      <c r="H366" s="108">
        <f>'2019 Certified Estimate'!H375</f>
        <v>0</v>
      </c>
      <c r="I366" s="118">
        <v>0</v>
      </c>
      <c r="J366" s="117">
        <v>0</v>
      </c>
    </row>
    <row r="367" spans="1:10" ht="9.75">
      <c r="A367" s="113" t="s">
        <v>54</v>
      </c>
      <c r="H367" s="108">
        <f>'2019 Certified Estimate'!H376</f>
        <v>0</v>
      </c>
      <c r="I367" s="118">
        <v>0</v>
      </c>
      <c r="J367" s="117">
        <v>0</v>
      </c>
    </row>
    <row r="368" spans="1:10" ht="9.75">
      <c r="A368" s="113" t="s">
        <v>55</v>
      </c>
      <c r="H368" s="108">
        <f>'2019 Certified Estimate'!H377</f>
        <v>0</v>
      </c>
      <c r="I368" s="118">
        <v>0</v>
      </c>
      <c r="J368" s="117">
        <v>0</v>
      </c>
    </row>
    <row r="369" spans="1:10" ht="9.75">
      <c r="A369" s="113" t="s">
        <v>56</v>
      </c>
      <c r="H369" s="108">
        <f>'2019 Certified Estimate'!H378</f>
        <v>-8834254</v>
      </c>
      <c r="I369" s="118">
        <v>-5620336</v>
      </c>
      <c r="J369" s="117">
        <f>(I369-H369)/H369</f>
        <v>-0.3638018558216687</v>
      </c>
    </row>
    <row r="370" spans="1:10" ht="9.75">
      <c r="A370" s="113" t="s">
        <v>57</v>
      </c>
      <c r="H370" s="108">
        <f>'2019 Certified Estimate'!H379</f>
        <v>-90600253</v>
      </c>
      <c r="I370" s="118">
        <v>-89600414</v>
      </c>
      <c r="J370" s="117">
        <f>(I370-H370)/H370</f>
        <v>-0.011035719734689925</v>
      </c>
    </row>
    <row r="371" spans="1:10" ht="9.75">
      <c r="A371" s="113" t="s">
        <v>58</v>
      </c>
      <c r="H371" s="108">
        <f>'2019 Certified Estimate'!H380</f>
        <v>-21777509</v>
      </c>
      <c r="I371" s="118">
        <v>-20762126</v>
      </c>
      <c r="J371" s="117">
        <f>(I371-H371)/H371</f>
        <v>-0.04662530503373916</v>
      </c>
    </row>
    <row r="372" spans="1:10" ht="10.5" thickBot="1">
      <c r="A372" s="113" t="s">
        <v>59</v>
      </c>
      <c r="H372" s="108">
        <f>'2019 Certified Estimate'!H381</f>
        <v>-2563201</v>
      </c>
      <c r="I372" s="118">
        <v>-2709702</v>
      </c>
      <c r="J372" s="117">
        <f>(I372-H372)/H372</f>
        <v>0.05715548644058738</v>
      </c>
    </row>
    <row r="373" spans="1:10" ht="10.5" thickBot="1">
      <c r="A373" s="250" t="s">
        <v>60</v>
      </c>
      <c r="B373" s="253"/>
      <c r="C373" s="253"/>
      <c r="D373" s="253"/>
      <c r="E373" s="253"/>
      <c r="F373" s="253"/>
      <c r="G373" s="253"/>
      <c r="H373" s="254">
        <f>SUM(H361:H372)</f>
        <v>1000216942</v>
      </c>
      <c r="I373" s="255">
        <f>SUM(I361:I372)</f>
        <v>974498318</v>
      </c>
      <c r="J373" s="256">
        <f>(I373-H373)/H373</f>
        <v>-0.025713045760426642</v>
      </c>
    </row>
    <row r="374" spans="1:12" ht="10.5">
      <c r="A374" s="121" t="str">
        <f>A338</f>
        <v>2014 Adpoted/2014 Revenue Neutral Tax Rate</v>
      </c>
      <c r="E374" s="217">
        <v>0.47604</v>
      </c>
      <c r="F374" s="138">
        <v>0.48033</v>
      </c>
      <c r="G374" s="123">
        <f>(F374-E374)/E374</f>
        <v>0.009011847743886985</v>
      </c>
      <c r="H374" s="124"/>
      <c r="I374" s="125"/>
      <c r="K374" s="146"/>
      <c r="L374" s="146"/>
    </row>
    <row r="375" spans="1:12" ht="10.5">
      <c r="A375" s="146"/>
      <c r="B375" s="104"/>
      <c r="C375" s="104"/>
      <c r="D375" s="104"/>
      <c r="E375" s="104"/>
      <c r="F375" s="104"/>
      <c r="G375" s="104"/>
      <c r="H375" s="124"/>
      <c r="I375" s="125"/>
      <c r="J375" s="146"/>
      <c r="K375" s="130"/>
      <c r="L375" s="146"/>
    </row>
    <row r="376" spans="1:10" ht="10.5">
      <c r="A376" s="146"/>
      <c r="G376" s="123"/>
      <c r="H376" s="146"/>
      <c r="I376" s="148"/>
      <c r="J376" s="146"/>
    </row>
    <row r="377" spans="1:10" ht="9.75">
      <c r="A377" s="121" t="s">
        <v>62</v>
      </c>
      <c r="H377" s="131">
        <f>(H373*E374)/100</f>
        <v>4761432.7306968</v>
      </c>
      <c r="I377" s="131">
        <f>(I373*F374)/100</f>
        <v>4680807.770849399</v>
      </c>
      <c r="J377" s="123">
        <f>(I377-H377)/H377</f>
        <v>-0.016932920069964327</v>
      </c>
    </row>
    <row r="378" spans="1:10" ht="9.75">
      <c r="A378" s="121" t="s">
        <v>18</v>
      </c>
      <c r="H378" s="108">
        <f>'2019 Certified Estimate'!H387</f>
        <v>4935314</v>
      </c>
      <c r="I378" s="118">
        <v>9908310</v>
      </c>
      <c r="J378" s="123">
        <f>(I378-H378)/H378</f>
        <v>1.0076351778225257</v>
      </c>
    </row>
    <row r="379" spans="1:10" ht="9.75">
      <c r="A379" s="121" t="s">
        <v>17</v>
      </c>
      <c r="H379" s="108">
        <f>'2019 Certified Estimate'!H388</f>
        <v>17825</v>
      </c>
      <c r="I379" s="118">
        <v>16727</v>
      </c>
      <c r="J379" s="123">
        <f>(I379-H379)/H379</f>
        <v>-0.061598877980364654</v>
      </c>
    </row>
    <row r="380" spans="1:10" s="136" customFormat="1" ht="10.5" thickBot="1">
      <c r="A380" s="132"/>
      <c r="H380" s="140"/>
      <c r="I380" s="140"/>
      <c r="J380" s="135"/>
    </row>
    <row r="381" spans="1:11" ht="10.5" thickBot="1">
      <c r="A381" s="267" t="s">
        <v>65</v>
      </c>
      <c r="B381" s="95" t="s">
        <v>32</v>
      </c>
      <c r="C381" s="96"/>
      <c r="D381" s="97"/>
      <c r="E381" s="95" t="s">
        <v>33</v>
      </c>
      <c r="F381" s="96"/>
      <c r="G381" s="97"/>
      <c r="H381" s="95" t="s">
        <v>34</v>
      </c>
      <c r="I381" s="96"/>
      <c r="J381" s="97"/>
      <c r="K381" s="99"/>
    </row>
    <row r="382" spans="1:11" ht="9.75">
      <c r="A382" s="9" t="s">
        <v>35</v>
      </c>
      <c r="B382" s="101" t="s">
        <v>193</v>
      </c>
      <c r="C382" s="102" t="s">
        <v>188</v>
      </c>
      <c r="D382" s="100" t="s">
        <v>67</v>
      </c>
      <c r="E382" s="101" t="str">
        <f>B382</f>
        <v>2013 Certified</v>
      </c>
      <c r="F382" s="102" t="s">
        <v>188</v>
      </c>
      <c r="G382" s="100" t="s">
        <v>67</v>
      </c>
      <c r="H382" s="101" t="s">
        <v>187</v>
      </c>
      <c r="I382" s="102" t="s">
        <v>189</v>
      </c>
      <c r="J382" s="100" t="s">
        <v>67</v>
      </c>
      <c r="K382" s="207" t="s">
        <v>71</v>
      </c>
    </row>
    <row r="383" spans="2:11" ht="9.75">
      <c r="B383" s="103"/>
      <c r="C383" s="104"/>
      <c r="D383" s="105"/>
      <c r="E383" s="103"/>
      <c r="F383" s="104"/>
      <c r="G383" s="105"/>
      <c r="H383" s="103"/>
      <c r="I383" s="104"/>
      <c r="J383" s="105"/>
      <c r="K383" s="106"/>
    </row>
    <row r="384" spans="1:11" ht="9.75">
      <c r="A384" s="9" t="s">
        <v>36</v>
      </c>
      <c r="B384" s="107">
        <v>0</v>
      </c>
      <c r="C384" s="108">
        <v>0</v>
      </c>
      <c r="D384" s="105"/>
      <c r="E384" s="108">
        <f>'2019 Certified Estimate'!E394</f>
        <v>175910610</v>
      </c>
      <c r="F384" s="108">
        <v>132080630</v>
      </c>
      <c r="G384" s="110">
        <f>(F384-E384)/E384</f>
        <v>-0.24916052533727215</v>
      </c>
      <c r="H384" s="107">
        <f aca="true" t="shared" si="37" ref="H384:I394">B384+E384</f>
        <v>175910610</v>
      </c>
      <c r="I384" s="108">
        <f t="shared" si="37"/>
        <v>132080630</v>
      </c>
      <c r="J384" s="110">
        <f>(I384-H384)/H384</f>
        <v>-0.24916052533727215</v>
      </c>
      <c r="K384" s="111">
        <f>I384/I395</f>
        <v>0.6747749109176711</v>
      </c>
    </row>
    <row r="385" spans="1:11" ht="9.75">
      <c r="A385" s="9" t="s">
        <v>37</v>
      </c>
      <c r="B385" s="107">
        <v>0</v>
      </c>
      <c r="C385" s="108">
        <v>0</v>
      </c>
      <c r="D385" s="105"/>
      <c r="E385" s="108">
        <f>'2019 Certified Estimate'!E395</f>
        <v>27041700</v>
      </c>
      <c r="F385" s="108">
        <v>14375090</v>
      </c>
      <c r="G385" s="110">
        <f>(F385-E385)/E385</f>
        <v>-0.4684102700643821</v>
      </c>
      <c r="H385" s="107">
        <f t="shared" si="37"/>
        <v>27041700</v>
      </c>
      <c r="I385" s="108">
        <f t="shared" si="37"/>
        <v>14375090</v>
      </c>
      <c r="J385" s="110">
        <f>(I385-H385)/H385</f>
        <v>-0.4684102700643821</v>
      </c>
      <c r="K385" s="111">
        <f>I385/I395</f>
        <v>0.07343961089664325</v>
      </c>
    </row>
    <row r="386" spans="1:11" ht="9.75">
      <c r="A386" s="9" t="s">
        <v>38</v>
      </c>
      <c r="B386" s="107">
        <v>0</v>
      </c>
      <c r="C386" s="108">
        <v>0</v>
      </c>
      <c r="D386" s="105"/>
      <c r="E386" s="108">
        <f>'2019 Certified Estimate'!E396</f>
        <v>3316290</v>
      </c>
      <c r="F386" s="108">
        <v>1227020</v>
      </c>
      <c r="G386" s="110">
        <f>(F386-E386)/E386</f>
        <v>-0.6300022012550169</v>
      </c>
      <c r="H386" s="107">
        <f t="shared" si="37"/>
        <v>3316290</v>
      </c>
      <c r="I386" s="108">
        <f t="shared" si="37"/>
        <v>1227020</v>
      </c>
      <c r="J386" s="110">
        <f>(I386-H386)/H386</f>
        <v>-0.6300022012550169</v>
      </c>
      <c r="K386" s="111">
        <f>I386/I395</f>
        <v>0.006268612673896247</v>
      </c>
    </row>
    <row r="387" spans="1:11" ht="9.75">
      <c r="A387" s="9" t="s">
        <v>39</v>
      </c>
      <c r="B387" s="107">
        <v>0</v>
      </c>
      <c r="C387" s="108">
        <v>0</v>
      </c>
      <c r="D387" s="105"/>
      <c r="E387" s="108">
        <f>'2019 Certified Estimate'!E397</f>
        <v>5649430</v>
      </c>
      <c r="F387" s="108">
        <v>16775970</v>
      </c>
      <c r="G387" s="110">
        <f>(F387-E387)/E387</f>
        <v>1.969497807743436</v>
      </c>
      <c r="H387" s="107">
        <f t="shared" si="37"/>
        <v>5649430</v>
      </c>
      <c r="I387" s="108">
        <f t="shared" si="37"/>
        <v>16775970</v>
      </c>
      <c r="J387" s="110">
        <f>(I387-H387)/H387</f>
        <v>1.969497807743436</v>
      </c>
      <c r="K387" s="111">
        <f>I387/I395</f>
        <v>0.08570525187764112</v>
      </c>
    </row>
    <row r="388" spans="1:11" ht="9.75">
      <c r="A388" s="9" t="s">
        <v>40</v>
      </c>
      <c r="B388" s="107">
        <v>0</v>
      </c>
      <c r="C388" s="108">
        <v>0</v>
      </c>
      <c r="D388" s="105"/>
      <c r="E388" s="108">
        <f>'2019 Certified Estimate'!E398</f>
        <v>17818360</v>
      </c>
      <c r="F388" s="108">
        <v>14614360</v>
      </c>
      <c r="G388" s="110">
        <f>(F388-E388)/E388</f>
        <v>-0.17981452838532838</v>
      </c>
      <c r="H388" s="107">
        <f t="shared" si="37"/>
        <v>17818360</v>
      </c>
      <c r="I388" s="108">
        <f t="shared" si="37"/>
        <v>14614360</v>
      </c>
      <c r="J388" s="110">
        <f>(I388-H388)/H388</f>
        <v>-0.17981452838532838</v>
      </c>
      <c r="K388" s="111">
        <f>I388/I395</f>
        <v>0.07466199598774458</v>
      </c>
    </row>
    <row r="389" spans="1:11" ht="9.75">
      <c r="A389" s="9" t="s">
        <v>41</v>
      </c>
      <c r="B389" s="107">
        <f>'2019 Certified Estimate'!B399</f>
        <v>0</v>
      </c>
      <c r="C389" s="108">
        <v>0</v>
      </c>
      <c r="D389" s="110"/>
      <c r="E389" s="108">
        <f>'2019 Certified Estimate'!E399</f>
        <v>0</v>
      </c>
      <c r="F389" s="108">
        <v>0</v>
      </c>
      <c r="G389" s="110">
        <v>0</v>
      </c>
      <c r="H389" s="107">
        <f t="shared" si="37"/>
        <v>0</v>
      </c>
      <c r="I389" s="108">
        <f t="shared" si="37"/>
        <v>0</v>
      </c>
      <c r="J389" s="110">
        <v>0</v>
      </c>
      <c r="K389" s="111">
        <f>I389/I395</f>
        <v>0</v>
      </c>
    </row>
    <row r="390" spans="1:11" ht="9.75">
      <c r="A390" s="9" t="s">
        <v>42</v>
      </c>
      <c r="B390" s="107">
        <f>'2019 Certified Estimate'!B400</f>
        <v>6119540</v>
      </c>
      <c r="C390" s="108">
        <v>3838530</v>
      </c>
      <c r="D390" s="110">
        <f>(C390-B390)/B390</f>
        <v>-0.3727420688483121</v>
      </c>
      <c r="E390" s="108">
        <f>'2019 Certified Estimate'!E400</f>
        <v>63170</v>
      </c>
      <c r="F390" s="108">
        <v>75620</v>
      </c>
      <c r="G390" s="110">
        <f aca="true" t="shared" si="38" ref="G390:G395">(F390-E390)/E390</f>
        <v>0.19708722494855152</v>
      </c>
      <c r="H390" s="107">
        <f t="shared" si="37"/>
        <v>6182710</v>
      </c>
      <c r="I390" s="108">
        <f t="shared" si="37"/>
        <v>3914150</v>
      </c>
      <c r="J390" s="110">
        <f>(I390-H390)/H390</f>
        <v>-0.3669200075694962</v>
      </c>
      <c r="K390" s="111">
        <f>I390/I395</f>
        <v>0.019996650663828622</v>
      </c>
    </row>
    <row r="391" spans="1:11" ht="9.75">
      <c r="A391" s="9" t="s">
        <v>43</v>
      </c>
      <c r="B391" s="107">
        <f>'2019 Certified Estimate'!B401</f>
        <v>43030</v>
      </c>
      <c r="C391" s="109">
        <v>775650</v>
      </c>
      <c r="D391" s="110">
        <f>(C391-B391)/B391</f>
        <v>17.02579595630955</v>
      </c>
      <c r="E391" s="108">
        <f>'2019 Certified Estimate'!E401</f>
        <v>4631440</v>
      </c>
      <c r="F391" s="108">
        <v>3951330</v>
      </c>
      <c r="G391" s="110">
        <f t="shared" si="38"/>
        <v>-0.14684633720829807</v>
      </c>
      <c r="H391" s="107">
        <f t="shared" si="37"/>
        <v>4674470</v>
      </c>
      <c r="I391" s="108">
        <f t="shared" si="37"/>
        <v>4726980</v>
      </c>
      <c r="J391" s="110">
        <f>(I391-H391)/H391</f>
        <v>0.0112333590760022</v>
      </c>
      <c r="K391" s="111">
        <f>I391/I395</f>
        <v>0.024149245111941192</v>
      </c>
    </row>
    <row r="392" spans="1:11" ht="9.75">
      <c r="A392" s="9" t="s">
        <v>44</v>
      </c>
      <c r="B392" s="107">
        <v>0</v>
      </c>
      <c r="C392" s="108">
        <v>0</v>
      </c>
      <c r="D392" s="110"/>
      <c r="E392" s="108">
        <f>'2019 Certified Estimate'!E402</f>
        <v>455480</v>
      </c>
      <c r="F392" s="108">
        <v>692480</v>
      </c>
      <c r="G392" s="110">
        <f t="shared" si="38"/>
        <v>0.520330201106525</v>
      </c>
      <c r="H392" s="107">
        <f t="shared" si="37"/>
        <v>455480</v>
      </c>
      <c r="I392" s="108">
        <f t="shared" si="37"/>
        <v>692480</v>
      </c>
      <c r="J392" s="110">
        <f>(I392-H392)/H392</f>
        <v>0.520330201106525</v>
      </c>
      <c r="K392" s="111">
        <f>I392/I395</f>
        <v>0.0035377491030461387</v>
      </c>
    </row>
    <row r="393" spans="1:11" ht="9.75">
      <c r="A393" s="9" t="s">
        <v>45</v>
      </c>
      <c r="B393" s="107">
        <v>0</v>
      </c>
      <c r="C393" s="108">
        <v>0</v>
      </c>
      <c r="D393" s="110"/>
      <c r="E393" s="108">
        <f>'2019 Certified Estimate'!E403</f>
        <v>3705060</v>
      </c>
      <c r="F393" s="108">
        <v>871270</v>
      </c>
      <c r="G393" s="110">
        <f t="shared" si="38"/>
        <v>-0.7648432144148812</v>
      </c>
      <c r="H393" s="107">
        <f t="shared" si="37"/>
        <v>3705060</v>
      </c>
      <c r="I393" s="108">
        <f t="shared" si="37"/>
        <v>871270</v>
      </c>
      <c r="J393" s="110">
        <v>0</v>
      </c>
      <c r="K393" s="111">
        <f>I393/I395</f>
        <v>0.004451153334408227</v>
      </c>
    </row>
    <row r="394" spans="1:11" ht="10.5" thickBot="1">
      <c r="A394" s="9" t="s">
        <v>46</v>
      </c>
      <c r="B394" s="107">
        <v>0</v>
      </c>
      <c r="C394" s="108">
        <v>0</v>
      </c>
      <c r="D394" s="110"/>
      <c r="E394" s="108">
        <f>'2019 Certified Estimate'!E404</f>
        <v>38655920</v>
      </c>
      <c r="F394" s="108">
        <v>6462330</v>
      </c>
      <c r="G394" s="110">
        <f t="shared" si="38"/>
        <v>-0.8328243125503157</v>
      </c>
      <c r="H394" s="107">
        <f t="shared" si="37"/>
        <v>38655920</v>
      </c>
      <c r="I394" s="108">
        <f t="shared" si="37"/>
        <v>6462330</v>
      </c>
      <c r="J394" s="110">
        <f aca="true" t="shared" si="39" ref="J394:J399">(I394-H394)/H394</f>
        <v>-0.8328243125503157</v>
      </c>
      <c r="K394" s="111">
        <f>I394/I395</f>
        <v>0.033014819433179514</v>
      </c>
    </row>
    <row r="395" spans="1:11" ht="10.5" thickBot="1">
      <c r="A395" s="250" t="s">
        <v>47</v>
      </c>
      <c r="B395" s="259">
        <f>SUM(B384:B394)</f>
        <v>6162570</v>
      </c>
      <c r="C395" s="260">
        <f>SUM(C384:C394)</f>
        <v>4614180</v>
      </c>
      <c r="D395" s="256">
        <f>(C395-B395)/B395</f>
        <v>-0.2512571865309441</v>
      </c>
      <c r="E395" s="259">
        <f>SUM(E384:E394)</f>
        <v>277247460</v>
      </c>
      <c r="F395" s="260">
        <f>SUM(F384:F394)</f>
        <v>191126100</v>
      </c>
      <c r="G395" s="256">
        <f t="shared" si="38"/>
        <v>-0.31062993327332916</v>
      </c>
      <c r="H395" s="263">
        <f>SUM(H384:H394)</f>
        <v>283410030</v>
      </c>
      <c r="I395" s="255">
        <f>SUM(I384:I394)</f>
        <v>195740280</v>
      </c>
      <c r="J395" s="256">
        <f t="shared" si="39"/>
        <v>-0.3093389108353011</v>
      </c>
      <c r="K395" s="261">
        <f>SUM(K384:K394)</f>
        <v>1</v>
      </c>
    </row>
    <row r="396" spans="1:10" ht="9.75">
      <c r="A396" s="113" t="str">
        <f>A16</f>
        <v>Less Minimum Value Loss</v>
      </c>
      <c r="H396" s="108">
        <f>'2019 Certified Estimate'!H406</f>
        <v>0</v>
      </c>
      <c r="I396" s="118">
        <v>0</v>
      </c>
      <c r="J396" s="117">
        <v>0</v>
      </c>
    </row>
    <row r="397" spans="1:10" ht="9.75">
      <c r="A397" s="113" t="s">
        <v>174</v>
      </c>
      <c r="H397" s="108">
        <f>'2019 Certified Estimate'!H407</f>
        <v>-297570</v>
      </c>
      <c r="I397" s="118">
        <v>-283240</v>
      </c>
      <c r="J397" s="117">
        <f t="shared" si="39"/>
        <v>-0.048156736230130726</v>
      </c>
    </row>
    <row r="398" spans="1:10" ht="10.5" thickBot="1">
      <c r="A398" s="113" t="s">
        <v>49</v>
      </c>
      <c r="H398" s="108">
        <f>'2019 Certified Estimate'!H408</f>
        <v>-1802800</v>
      </c>
      <c r="I398" s="118">
        <v>-1794750</v>
      </c>
      <c r="J398" s="117">
        <f t="shared" si="39"/>
        <v>-0.004465276236964722</v>
      </c>
    </row>
    <row r="399" spans="1:10" ht="10.5" thickBot="1">
      <c r="A399" s="250" t="s">
        <v>50</v>
      </c>
      <c r="B399" s="253"/>
      <c r="C399" s="253"/>
      <c r="D399" s="253"/>
      <c r="E399" s="253"/>
      <c r="F399" s="253"/>
      <c r="G399" s="253"/>
      <c r="H399" s="254">
        <f>SUM(H395:H398)</f>
        <v>281309660</v>
      </c>
      <c r="I399" s="255">
        <f>SUM(I395:I398)</f>
        <v>193662290</v>
      </c>
      <c r="J399" s="256">
        <f t="shared" si="39"/>
        <v>-0.3115690019318924</v>
      </c>
    </row>
    <row r="400" spans="1:10" ht="9.75">
      <c r="A400" s="113" t="s">
        <v>127</v>
      </c>
      <c r="H400" s="108">
        <f>'2019 Certified Estimate'!H410</f>
        <v>-370</v>
      </c>
      <c r="I400" s="120">
        <v>-4030</v>
      </c>
      <c r="J400" s="117">
        <f>(I400-H400)/H400</f>
        <v>9.891891891891891</v>
      </c>
    </row>
    <row r="401" spans="1:10" ht="9.75">
      <c r="A401" s="113" t="s">
        <v>78</v>
      </c>
      <c r="H401" s="108">
        <f>'2019 Certified Estimate'!H411</f>
        <v>0</v>
      </c>
      <c r="I401" s="120">
        <v>0</v>
      </c>
      <c r="J401" s="117">
        <v>0</v>
      </c>
    </row>
    <row r="402" spans="1:10" ht="9.75">
      <c r="A402" s="113" t="s">
        <v>128</v>
      </c>
      <c r="H402" s="108">
        <f>'2019 Certified Estimate'!H412</f>
        <v>0</v>
      </c>
      <c r="I402" s="120">
        <v>0</v>
      </c>
      <c r="J402" s="117">
        <v>0</v>
      </c>
    </row>
    <row r="403" spans="1:10" ht="9.75">
      <c r="A403" s="113" t="s">
        <v>157</v>
      </c>
      <c r="H403" s="108">
        <f>'2019 Certified Estimate'!H413</f>
        <v>-38662490</v>
      </c>
      <c r="I403" s="118">
        <v>-6462330</v>
      </c>
      <c r="J403" s="117">
        <f>(I403-H403)/H403</f>
        <v>-0.8328527210740954</v>
      </c>
    </row>
    <row r="404" spans="1:10" ht="9.75">
      <c r="A404" s="113" t="s">
        <v>53</v>
      </c>
      <c r="H404" s="108">
        <f>'2019 Certified Estimate'!H414</f>
        <v>0</v>
      </c>
      <c r="I404" s="118">
        <v>0</v>
      </c>
      <c r="J404" s="117">
        <v>0</v>
      </c>
    </row>
    <row r="405" spans="1:10" ht="9.75">
      <c r="A405" s="113" t="s">
        <v>54</v>
      </c>
      <c r="H405" s="108">
        <f>'2019 Certified Estimate'!H415</f>
        <v>0</v>
      </c>
      <c r="I405" s="118">
        <v>0</v>
      </c>
      <c r="J405" s="117">
        <v>0</v>
      </c>
    </row>
    <row r="406" spans="1:10" ht="9.75">
      <c r="A406" s="113" t="s">
        <v>55</v>
      </c>
      <c r="H406" s="108">
        <f>'2019 Certified Estimate'!H416</f>
        <v>0</v>
      </c>
      <c r="I406" s="118">
        <v>0</v>
      </c>
      <c r="J406" s="117">
        <v>0</v>
      </c>
    </row>
    <row r="407" spans="1:10" ht="9.75">
      <c r="A407" s="113" t="s">
        <v>56</v>
      </c>
      <c r="H407" s="108">
        <f>'2019 Certified Estimate'!H417</f>
        <v>-2172540</v>
      </c>
      <c r="I407" s="118">
        <v>-915810</v>
      </c>
      <c r="J407" s="117">
        <f>(I407-H407)/H407</f>
        <v>-0.5784611560661714</v>
      </c>
    </row>
    <row r="408" spans="1:10" ht="9.75">
      <c r="A408" s="113" t="s">
        <v>57</v>
      </c>
      <c r="H408" s="108">
        <f>'2019 Certified Estimate'!H418</f>
        <v>0</v>
      </c>
      <c r="I408" s="120">
        <v>0</v>
      </c>
      <c r="J408" s="117">
        <v>0</v>
      </c>
    </row>
    <row r="409" spans="1:10" ht="9.75">
      <c r="A409" s="113" t="s">
        <v>58</v>
      </c>
      <c r="H409" s="108">
        <f>'2019 Certified Estimate'!H419</f>
        <v>-1935000</v>
      </c>
      <c r="I409" s="120">
        <v>-1790610</v>
      </c>
      <c r="J409" s="117">
        <f>(I409-H409)/H409</f>
        <v>-0.07462015503875968</v>
      </c>
    </row>
    <row r="410" spans="1:10" ht="10.5" thickBot="1">
      <c r="A410" s="113" t="s">
        <v>59</v>
      </c>
      <c r="H410" s="108">
        <f>'2019 Certified Estimate'!H420</f>
        <v>-174073</v>
      </c>
      <c r="I410" s="120">
        <v>-210700</v>
      </c>
      <c r="J410" s="117">
        <f>(I410-H410)/H410</f>
        <v>0.2104117238170193</v>
      </c>
    </row>
    <row r="411" spans="1:10" ht="10.5" thickBot="1">
      <c r="A411" s="250" t="s">
        <v>60</v>
      </c>
      <c r="B411" s="253"/>
      <c r="C411" s="253"/>
      <c r="D411" s="253"/>
      <c r="E411" s="253"/>
      <c r="F411" s="253"/>
      <c r="G411" s="253"/>
      <c r="H411" s="254">
        <f>SUM(H399:H410)</f>
        <v>238365187</v>
      </c>
      <c r="I411" s="255">
        <f>SUM(I399:I410)</f>
        <v>184278810</v>
      </c>
      <c r="J411" s="256">
        <f>(I411-H411)/H411</f>
        <v>-0.2269055212328468</v>
      </c>
    </row>
    <row r="412" spans="1:10" ht="9.75">
      <c r="A412" s="121" t="str">
        <f>A374</f>
        <v>2014 Adpoted/2014 Revenue Neutral Tax Rate</v>
      </c>
      <c r="E412" s="217">
        <v>0.275811</v>
      </c>
      <c r="F412" s="141">
        <v>0.25569</v>
      </c>
      <c r="G412" s="123">
        <f>(F412-E412)/E412</f>
        <v>-0.07295213026311496</v>
      </c>
      <c r="H412" s="124"/>
      <c r="I412" s="125"/>
      <c r="J412" s="117"/>
    </row>
    <row r="413" spans="1:10" ht="10.5">
      <c r="A413" s="146"/>
      <c r="B413" s="104"/>
      <c r="C413" s="104"/>
      <c r="D413" s="104"/>
      <c r="E413" s="104"/>
      <c r="F413" s="104"/>
      <c r="G413" s="104"/>
      <c r="H413" s="124"/>
      <c r="I413" s="125"/>
      <c r="J413" s="146"/>
    </row>
    <row r="414" spans="1:11" ht="10.5">
      <c r="A414" s="146"/>
      <c r="G414" s="123"/>
      <c r="H414" s="146"/>
      <c r="I414" s="148"/>
      <c r="J414" s="146"/>
      <c r="K414" s="130"/>
    </row>
    <row r="415" spans="1:10" ht="9.75">
      <c r="A415" s="121" t="s">
        <v>62</v>
      </c>
      <c r="H415" s="125">
        <f>(H411*E412)/100</f>
        <v>657437.4059165699</v>
      </c>
      <c r="I415" s="125">
        <f>(I411*F412)/100</f>
        <v>471182.48928899993</v>
      </c>
      <c r="J415" s="123">
        <f>(I415-H415)/H415</f>
        <v>-0.2833044103535631</v>
      </c>
    </row>
    <row r="416" spans="1:12" ht="10.5">
      <c r="A416" s="121" t="s">
        <v>18</v>
      </c>
      <c r="H416" s="108" t="e">
        <f>'2019 Certified Values'!#REF!</f>
        <v>#REF!</v>
      </c>
      <c r="I416" s="118">
        <v>9435010</v>
      </c>
      <c r="J416" s="123" t="e">
        <f>(I416-H416)/H416</f>
        <v>#REF!</v>
      </c>
      <c r="K416" s="146"/>
      <c r="L416" s="146"/>
    </row>
    <row r="417" spans="1:12" ht="10.5">
      <c r="A417" s="121" t="s">
        <v>17</v>
      </c>
      <c r="H417" s="108" t="e">
        <f>'2019 Certified Values'!#REF!</f>
        <v>#REF!</v>
      </c>
      <c r="I417" s="118">
        <v>1695</v>
      </c>
      <c r="J417" s="123" t="e">
        <f>(I417-H417)/H417</f>
        <v>#REF!</v>
      </c>
      <c r="K417" s="146"/>
      <c r="L417" s="146"/>
    </row>
    <row r="418" spans="1:12" s="136" customFormat="1" ht="10.5" thickBot="1">
      <c r="A418" s="132"/>
      <c r="H418" s="140"/>
      <c r="I418" s="140"/>
      <c r="J418" s="135"/>
      <c r="K418" s="150"/>
      <c r="L418" s="150"/>
    </row>
    <row r="419" spans="1:11" s="144" customFormat="1" ht="10.5" thickBot="1">
      <c r="A419" s="267" t="s">
        <v>108</v>
      </c>
      <c r="B419" s="95" t="s">
        <v>32</v>
      </c>
      <c r="C419" s="96"/>
      <c r="D419" s="97"/>
      <c r="E419" s="95" t="s">
        <v>33</v>
      </c>
      <c r="F419" s="96"/>
      <c r="G419" s="97"/>
      <c r="H419" s="95" t="s">
        <v>34</v>
      </c>
      <c r="I419" s="96"/>
      <c r="J419" s="97"/>
      <c r="K419" s="99"/>
    </row>
    <row r="420" spans="1:11" s="144" customFormat="1" ht="9.75">
      <c r="A420" s="9" t="s">
        <v>35</v>
      </c>
      <c r="B420" s="101" t="s">
        <v>193</v>
      </c>
      <c r="C420" s="102" t="s">
        <v>188</v>
      </c>
      <c r="D420" s="100" t="s">
        <v>67</v>
      </c>
      <c r="E420" s="101" t="str">
        <f>B420</f>
        <v>2013 Certified</v>
      </c>
      <c r="F420" s="102" t="s">
        <v>188</v>
      </c>
      <c r="G420" s="100" t="s">
        <v>67</v>
      </c>
      <c r="H420" s="101" t="s">
        <v>187</v>
      </c>
      <c r="I420" s="102" t="s">
        <v>189</v>
      </c>
      <c r="J420" s="100" t="s">
        <v>67</v>
      </c>
      <c r="K420" s="207" t="s">
        <v>71</v>
      </c>
    </row>
    <row r="421" spans="1:11" s="144" customFormat="1" ht="9.75">
      <c r="A421" s="9"/>
      <c r="B421" s="103"/>
      <c r="C421" s="104"/>
      <c r="D421" s="105"/>
      <c r="E421" s="103"/>
      <c r="F421" s="104"/>
      <c r="G421" s="105"/>
      <c r="H421" s="103"/>
      <c r="I421" s="104"/>
      <c r="J421" s="105"/>
      <c r="K421" s="106"/>
    </row>
    <row r="422" spans="1:11" s="144" customFormat="1" ht="9.75">
      <c r="A422" s="9" t="s">
        <v>36</v>
      </c>
      <c r="B422" s="152">
        <v>0</v>
      </c>
      <c r="C422" s="108">
        <v>0</v>
      </c>
      <c r="D422" s="110">
        <v>0</v>
      </c>
      <c r="E422" s="108">
        <f>'2019 Certified Estimate'!E433</f>
        <v>112413630</v>
      </c>
      <c r="F422" s="108">
        <v>89329720</v>
      </c>
      <c r="G422" s="110">
        <f aca="true" t="shared" si="40" ref="G422:G433">(F422-E422)/E422</f>
        <v>-0.2053479635876895</v>
      </c>
      <c r="H422" s="107">
        <f aca="true" t="shared" si="41" ref="H422:I432">B422+E422</f>
        <v>112413630</v>
      </c>
      <c r="I422" s="108">
        <f t="shared" si="41"/>
        <v>89329720</v>
      </c>
      <c r="J422" s="110">
        <f aca="true" t="shared" si="42" ref="J422:J449">(I422-H422)/H422</f>
        <v>-0.2053479635876895</v>
      </c>
      <c r="K422" s="111">
        <f>I422/I433</f>
        <v>0.3205369795267621</v>
      </c>
    </row>
    <row r="423" spans="1:11" s="144" customFormat="1" ht="9.75">
      <c r="A423" s="9" t="s">
        <v>37</v>
      </c>
      <c r="B423" s="152">
        <v>0</v>
      </c>
      <c r="C423" s="108">
        <v>0</v>
      </c>
      <c r="D423" s="110">
        <v>0</v>
      </c>
      <c r="E423" s="108">
        <f>'2019 Certified Estimate'!E434</f>
        <v>2347130</v>
      </c>
      <c r="F423" s="108">
        <v>2101890</v>
      </c>
      <c r="G423" s="110">
        <f t="shared" si="40"/>
        <v>-0.10448505195707097</v>
      </c>
      <c r="H423" s="107">
        <f t="shared" si="41"/>
        <v>2347130</v>
      </c>
      <c r="I423" s="108">
        <f t="shared" si="41"/>
        <v>2101890</v>
      </c>
      <c r="J423" s="110">
        <f t="shared" si="42"/>
        <v>-0.10448505195707097</v>
      </c>
      <c r="K423" s="111">
        <f>I423/I433</f>
        <v>0.0075420976568325295</v>
      </c>
    </row>
    <row r="424" spans="1:11" s="144" customFormat="1" ht="9.75">
      <c r="A424" s="9" t="s">
        <v>38</v>
      </c>
      <c r="B424" s="152">
        <v>0</v>
      </c>
      <c r="C424" s="108">
        <v>0</v>
      </c>
      <c r="D424" s="110">
        <v>0</v>
      </c>
      <c r="E424" s="108">
        <f>'2019 Certified Estimate'!E435</f>
        <v>2081420</v>
      </c>
      <c r="F424" s="108">
        <v>2077540</v>
      </c>
      <c r="G424" s="110">
        <f t="shared" si="40"/>
        <v>-0.0018641120004612235</v>
      </c>
      <c r="H424" s="107">
        <f t="shared" si="41"/>
        <v>2081420</v>
      </c>
      <c r="I424" s="108">
        <f t="shared" si="41"/>
        <v>2077540</v>
      </c>
      <c r="J424" s="110">
        <f t="shared" si="42"/>
        <v>-0.0018641120004612235</v>
      </c>
      <c r="K424" s="111">
        <f>I424/I433</f>
        <v>0.007454723875167517</v>
      </c>
    </row>
    <row r="425" spans="1:11" s="144" customFormat="1" ht="9.75">
      <c r="A425" s="9" t="s">
        <v>39</v>
      </c>
      <c r="B425" s="152">
        <v>0</v>
      </c>
      <c r="C425" s="108">
        <v>0</v>
      </c>
      <c r="D425" s="110">
        <v>0</v>
      </c>
      <c r="E425" s="108">
        <f>'2019 Certified Estimate'!E436</f>
        <v>1607140</v>
      </c>
      <c r="F425" s="108">
        <v>10648380</v>
      </c>
      <c r="G425" s="110">
        <f t="shared" si="40"/>
        <v>5.625670445636348</v>
      </c>
      <c r="H425" s="107">
        <f t="shared" si="41"/>
        <v>1607140</v>
      </c>
      <c r="I425" s="108">
        <f t="shared" si="41"/>
        <v>10648380</v>
      </c>
      <c r="J425" s="110">
        <f t="shared" si="42"/>
        <v>5.625670445636348</v>
      </c>
      <c r="K425" s="111">
        <f>I425/I433</f>
        <v>0.03820900325281645</v>
      </c>
    </row>
    <row r="426" spans="1:11" s="144" customFormat="1" ht="9.75">
      <c r="A426" s="9" t="s">
        <v>40</v>
      </c>
      <c r="B426" s="152">
        <v>0</v>
      </c>
      <c r="C426" s="108">
        <v>0</v>
      </c>
      <c r="D426" s="110">
        <v>0</v>
      </c>
      <c r="E426" s="108">
        <f>'2019 Certified Estimate'!E437</f>
        <v>28040010</v>
      </c>
      <c r="F426" s="108">
        <v>41363350</v>
      </c>
      <c r="G426" s="110">
        <f t="shared" si="40"/>
        <v>0.47515460943130905</v>
      </c>
      <c r="H426" s="107">
        <f t="shared" si="41"/>
        <v>28040010</v>
      </c>
      <c r="I426" s="108">
        <f t="shared" si="41"/>
        <v>41363350</v>
      </c>
      <c r="J426" s="110">
        <f t="shared" si="42"/>
        <v>0.47515460943130905</v>
      </c>
      <c r="K426" s="111">
        <f>I426/I433</f>
        <v>0.14842186085558418</v>
      </c>
    </row>
    <row r="427" spans="1:11" s="144" customFormat="1" ht="9.75">
      <c r="A427" s="9" t="s">
        <v>41</v>
      </c>
      <c r="B427" s="107">
        <f>'2019 Certified Estimate'!B438</f>
        <v>29640</v>
      </c>
      <c r="C427" s="109">
        <v>36170</v>
      </c>
      <c r="D427" s="110">
        <f>(C427-B427)/B427</f>
        <v>0.22031039136302294</v>
      </c>
      <c r="E427" s="108">
        <f>'2019 Certified Estimate'!E438</f>
        <v>0</v>
      </c>
      <c r="F427" s="108">
        <v>0</v>
      </c>
      <c r="G427" s="110">
        <v>0</v>
      </c>
      <c r="H427" s="107">
        <f t="shared" si="41"/>
        <v>29640</v>
      </c>
      <c r="I427" s="108">
        <f t="shared" si="41"/>
        <v>36170</v>
      </c>
      <c r="J427" s="110">
        <v>1</v>
      </c>
      <c r="K427" s="111">
        <f>I427/I433</f>
        <v>0.00012978684529049218</v>
      </c>
    </row>
    <row r="428" spans="1:11" s="144" customFormat="1" ht="9.75">
      <c r="A428" s="9" t="s">
        <v>42</v>
      </c>
      <c r="B428" s="107">
        <f>'2019 Certified Estimate'!B439</f>
        <v>6226490</v>
      </c>
      <c r="C428" s="109">
        <v>4248830</v>
      </c>
      <c r="D428" s="110">
        <f>(C428-B428)/B428</f>
        <v>-0.3176203607489934</v>
      </c>
      <c r="E428" s="108">
        <f>'2019 Certified Estimate'!E439</f>
        <v>21680</v>
      </c>
      <c r="F428" s="108">
        <v>22230</v>
      </c>
      <c r="G428" s="110">
        <f t="shared" si="40"/>
        <v>0.0253690036900369</v>
      </c>
      <c r="H428" s="107">
        <f t="shared" si="41"/>
        <v>6248170</v>
      </c>
      <c r="I428" s="108">
        <f t="shared" si="41"/>
        <v>4271060</v>
      </c>
      <c r="J428" s="110">
        <f t="shared" si="42"/>
        <v>-0.31643025077742765</v>
      </c>
      <c r="K428" s="111">
        <f>I428/I433</f>
        <v>0.015325612481238858</v>
      </c>
    </row>
    <row r="429" spans="1:11" s="144" customFormat="1" ht="9.75">
      <c r="A429" s="9" t="s">
        <v>43</v>
      </c>
      <c r="B429" s="107">
        <f>'2019 Certified Estimate'!B440</f>
        <v>119475610</v>
      </c>
      <c r="C429" s="109">
        <v>105999890</v>
      </c>
      <c r="D429" s="110">
        <f>(C429-B429)/B429</f>
        <v>-0.11279055197960487</v>
      </c>
      <c r="E429" s="108">
        <f>'2019 Certified Estimate'!E440</f>
        <v>14616050</v>
      </c>
      <c r="F429" s="108">
        <v>13041410</v>
      </c>
      <c r="G429" s="110">
        <f t="shared" si="40"/>
        <v>-0.10773362160091132</v>
      </c>
      <c r="H429" s="107">
        <f t="shared" si="41"/>
        <v>134091660</v>
      </c>
      <c r="I429" s="108">
        <f t="shared" si="41"/>
        <v>119041300</v>
      </c>
      <c r="J429" s="110">
        <f t="shared" si="42"/>
        <v>-0.11223934434102763</v>
      </c>
      <c r="K429" s="111">
        <f>I429/I433</f>
        <v>0.4271494273231702</v>
      </c>
    </row>
    <row r="430" spans="1:11" s="144" customFormat="1" ht="9.75">
      <c r="A430" s="9" t="s">
        <v>44</v>
      </c>
      <c r="B430" s="152">
        <v>0</v>
      </c>
      <c r="C430" s="108">
        <v>0</v>
      </c>
      <c r="D430" s="110">
        <v>0</v>
      </c>
      <c r="E430" s="108">
        <f>'2019 Certified Estimate'!E441</f>
        <v>314270</v>
      </c>
      <c r="F430" s="108">
        <v>303360</v>
      </c>
      <c r="G430" s="110">
        <f t="shared" si="40"/>
        <v>-0.034715372132242975</v>
      </c>
      <c r="H430" s="107">
        <f t="shared" si="41"/>
        <v>314270</v>
      </c>
      <c r="I430" s="108">
        <f t="shared" si="41"/>
        <v>303360</v>
      </c>
      <c r="J430" s="110">
        <f t="shared" si="42"/>
        <v>-0.034715372132242975</v>
      </c>
      <c r="K430" s="111">
        <f>I430/I433</f>
        <v>0.0010885302014742523</v>
      </c>
    </row>
    <row r="431" spans="1:11" s="144" customFormat="1" ht="9.75">
      <c r="A431" s="9" t="s">
        <v>45</v>
      </c>
      <c r="B431" s="152">
        <v>0</v>
      </c>
      <c r="C431" s="108">
        <v>0</v>
      </c>
      <c r="D431" s="110">
        <v>0</v>
      </c>
      <c r="E431" s="108">
        <f>'2019 Certified Estimate'!E442</f>
        <v>3921170</v>
      </c>
      <c r="F431" s="108">
        <v>1881280</v>
      </c>
      <c r="G431" s="110">
        <f t="shared" si="40"/>
        <v>-0.5202248308540564</v>
      </c>
      <c r="H431" s="107">
        <f t="shared" si="41"/>
        <v>3921170</v>
      </c>
      <c r="I431" s="108">
        <f t="shared" si="41"/>
        <v>1881280</v>
      </c>
      <c r="J431" s="110">
        <f t="shared" si="42"/>
        <v>-0.5202248308540564</v>
      </c>
      <c r="K431" s="111">
        <f>I431/I433</f>
        <v>0.0067504947831931745</v>
      </c>
    </row>
    <row r="432" spans="1:11" s="144" customFormat="1" ht="10.5" thickBot="1">
      <c r="A432" s="9" t="s">
        <v>46</v>
      </c>
      <c r="B432" s="152">
        <v>0</v>
      </c>
      <c r="C432" s="108">
        <v>0</v>
      </c>
      <c r="D432" s="110">
        <v>0</v>
      </c>
      <c r="E432" s="108">
        <f>'2019 Certified Estimate'!E443</f>
        <v>5089230</v>
      </c>
      <c r="F432" s="108">
        <v>7633670</v>
      </c>
      <c r="G432" s="110">
        <f t="shared" si="40"/>
        <v>0.4999656136586478</v>
      </c>
      <c r="H432" s="108">
        <f t="shared" si="41"/>
        <v>5089230</v>
      </c>
      <c r="I432" s="108">
        <f t="shared" si="41"/>
        <v>7633670</v>
      </c>
      <c r="J432" s="110">
        <f t="shared" si="42"/>
        <v>0.4999656136586478</v>
      </c>
      <c r="K432" s="111">
        <f>I432/I433</f>
        <v>0.027391483198470318</v>
      </c>
    </row>
    <row r="433" spans="1:11" s="144" customFormat="1" ht="10.5" thickBot="1">
      <c r="A433" s="250" t="s">
        <v>47</v>
      </c>
      <c r="B433" s="259">
        <f>SUM(B422:B432)</f>
        <v>125731740</v>
      </c>
      <c r="C433" s="260">
        <f>SUM(C422:C432)</f>
        <v>110284890</v>
      </c>
      <c r="D433" s="266">
        <f>(C433-B433)/B433</f>
        <v>-0.12285561306953996</v>
      </c>
      <c r="E433" s="263">
        <f>SUM(E422:E432)</f>
        <v>170451730</v>
      </c>
      <c r="F433" s="260">
        <f>SUM(F422:F432)</f>
        <v>168402830</v>
      </c>
      <c r="G433" s="256">
        <f t="shared" si="40"/>
        <v>-0.012020411878483133</v>
      </c>
      <c r="H433" s="263">
        <f>SUM(H422:H432)</f>
        <v>296183470</v>
      </c>
      <c r="I433" s="255">
        <f>SUM(I422:I432)</f>
        <v>278687720</v>
      </c>
      <c r="J433" s="256">
        <f t="shared" si="42"/>
        <v>-0.05907064968885671</v>
      </c>
      <c r="K433" s="261">
        <f>SUM(K422:K432)</f>
        <v>1.0000000000000002</v>
      </c>
    </row>
    <row r="434" spans="1:11" s="144" customFormat="1" ht="9.75">
      <c r="A434" s="113" t="s">
        <v>109</v>
      </c>
      <c r="B434" s="9"/>
      <c r="C434" s="9"/>
      <c r="D434" s="9"/>
      <c r="E434" s="9"/>
      <c r="F434" s="9"/>
      <c r="G434" s="9"/>
      <c r="H434" s="108">
        <f>'2019 Certified Estimate'!H445</f>
        <v>0</v>
      </c>
      <c r="I434" s="118">
        <v>0</v>
      </c>
      <c r="J434" s="126">
        <v>0</v>
      </c>
      <c r="K434" s="9"/>
    </row>
    <row r="435" spans="1:11" s="144" customFormat="1" ht="9.75">
      <c r="A435" s="113" t="s">
        <v>174</v>
      </c>
      <c r="B435" s="9"/>
      <c r="C435" s="9"/>
      <c r="D435" s="9"/>
      <c r="E435" s="9"/>
      <c r="F435" s="9"/>
      <c r="G435" s="9"/>
      <c r="H435" s="108">
        <f>'2019 Certified Estimate'!H446</f>
        <v>-184340</v>
      </c>
      <c r="I435" s="118">
        <v>-110560</v>
      </c>
      <c r="J435" s="126">
        <f t="shared" si="42"/>
        <v>-0.4002386893783227</v>
      </c>
      <c r="K435" s="9"/>
    </row>
    <row r="436" spans="1:11" s="144" customFormat="1" ht="10.5" thickBot="1">
      <c r="A436" s="113" t="s">
        <v>49</v>
      </c>
      <c r="B436" s="9"/>
      <c r="C436" s="9"/>
      <c r="D436" s="9"/>
      <c r="E436" s="9"/>
      <c r="F436" s="9"/>
      <c r="G436" s="9"/>
      <c r="H436" s="108">
        <f>'2019 Certified Estimate'!H447</f>
        <v>-1406090</v>
      </c>
      <c r="I436" s="118">
        <v>-1527320</v>
      </c>
      <c r="J436" s="126">
        <f t="shared" si="42"/>
        <v>0.08621780967078921</v>
      </c>
      <c r="K436" s="9"/>
    </row>
    <row r="437" spans="1:11" s="144" customFormat="1" ht="10.5" thickBot="1">
      <c r="A437" s="250" t="s">
        <v>50</v>
      </c>
      <c r="B437" s="253"/>
      <c r="C437" s="253"/>
      <c r="D437" s="253"/>
      <c r="E437" s="253"/>
      <c r="F437" s="253"/>
      <c r="G437" s="253"/>
      <c r="H437" s="255">
        <f>SUM(H433:H436)</f>
        <v>294593040</v>
      </c>
      <c r="I437" s="255">
        <f>SUM(I433:I436)</f>
        <v>277049840</v>
      </c>
      <c r="J437" s="256">
        <f t="shared" si="42"/>
        <v>-0.0595506261790842</v>
      </c>
      <c r="K437" s="9"/>
    </row>
    <row r="438" spans="1:11" s="144" customFormat="1" ht="9.75">
      <c r="A438" s="113" t="s">
        <v>127</v>
      </c>
      <c r="B438" s="9"/>
      <c r="C438" s="9"/>
      <c r="D438" s="9"/>
      <c r="E438" s="9"/>
      <c r="F438" s="9"/>
      <c r="G438" s="9"/>
      <c r="H438" s="108">
        <f>'2019 Certified Estimate'!H449</f>
        <v>-1660</v>
      </c>
      <c r="I438" s="120">
        <v>-2590</v>
      </c>
      <c r="J438" s="126">
        <f t="shared" si="42"/>
        <v>0.5602409638554217</v>
      </c>
      <c r="K438" s="9"/>
    </row>
    <row r="439" spans="1:11" s="144" customFormat="1" ht="9.75">
      <c r="A439" s="113" t="s">
        <v>156</v>
      </c>
      <c r="B439" s="9"/>
      <c r="C439" s="9"/>
      <c r="D439" s="9"/>
      <c r="E439" s="9"/>
      <c r="F439" s="9"/>
      <c r="G439" s="9"/>
      <c r="H439" s="108">
        <f>'2019 Certified Estimate'!H450</f>
        <v>-232630</v>
      </c>
      <c r="I439" s="120">
        <v>-652280</v>
      </c>
      <c r="J439" s="126">
        <f t="shared" si="42"/>
        <v>1.8039375832867643</v>
      </c>
      <c r="K439" s="9"/>
    </row>
    <row r="440" spans="1:11" s="144" customFormat="1" ht="9.75">
      <c r="A440" s="113" t="s">
        <v>128</v>
      </c>
      <c r="B440" s="9"/>
      <c r="C440" s="9"/>
      <c r="D440" s="9"/>
      <c r="E440" s="9"/>
      <c r="F440" s="9"/>
      <c r="G440" s="9"/>
      <c r="H440" s="108">
        <f>'2019 Certified Estimate'!H451</f>
        <v>-2176410</v>
      </c>
      <c r="I440" s="120">
        <v>0</v>
      </c>
      <c r="J440" s="126">
        <v>0</v>
      </c>
      <c r="K440" s="9"/>
    </row>
    <row r="441" spans="1:11" s="144" customFormat="1" ht="9.75">
      <c r="A441" s="113" t="s">
        <v>157</v>
      </c>
      <c r="B441" s="9"/>
      <c r="C441" s="9"/>
      <c r="D441" s="9"/>
      <c r="E441" s="9"/>
      <c r="F441" s="9"/>
      <c r="G441" s="9"/>
      <c r="H441" s="108">
        <f>'2019 Certified Estimate'!H452</f>
        <v>-5151360</v>
      </c>
      <c r="I441" s="118">
        <v>-7695800</v>
      </c>
      <c r="J441" s="126">
        <f t="shared" si="42"/>
        <v>0.4939355820598832</v>
      </c>
      <c r="K441" s="9"/>
    </row>
    <row r="442" spans="1:11" s="144" customFormat="1" ht="9.75">
      <c r="A442" s="113" t="s">
        <v>53</v>
      </c>
      <c r="B442" s="9"/>
      <c r="C442" s="9"/>
      <c r="D442" s="9"/>
      <c r="E442" s="9"/>
      <c r="F442" s="9"/>
      <c r="G442" s="9"/>
      <c r="H442" s="108">
        <f>'2019 Certified Estimate'!H453</f>
        <v>0</v>
      </c>
      <c r="I442" s="118">
        <v>0</v>
      </c>
      <c r="J442" s="126">
        <v>0</v>
      </c>
      <c r="K442" s="9"/>
    </row>
    <row r="443" spans="1:11" s="144" customFormat="1" ht="9.75">
      <c r="A443" s="113" t="s">
        <v>54</v>
      </c>
      <c r="B443" s="9"/>
      <c r="C443" s="9"/>
      <c r="D443" s="9"/>
      <c r="E443" s="9"/>
      <c r="F443" s="9"/>
      <c r="G443" s="9"/>
      <c r="H443" s="108">
        <f>'2019 Certified Estimate'!H454</f>
        <v>0</v>
      </c>
      <c r="I443" s="118">
        <v>0</v>
      </c>
      <c r="J443" s="126">
        <v>0</v>
      </c>
      <c r="K443" s="9"/>
    </row>
    <row r="444" spans="1:11" s="144" customFormat="1" ht="9.75">
      <c r="A444" s="113" t="s">
        <v>55</v>
      </c>
      <c r="B444" s="9"/>
      <c r="C444" s="9"/>
      <c r="D444" s="9"/>
      <c r="E444" s="9"/>
      <c r="F444" s="9"/>
      <c r="G444" s="9"/>
      <c r="H444" s="108">
        <f>'2019 Certified Estimate'!H455</f>
        <v>0</v>
      </c>
      <c r="I444" s="118">
        <v>0</v>
      </c>
      <c r="J444" s="126">
        <v>0</v>
      </c>
      <c r="K444" s="9"/>
    </row>
    <row r="445" spans="1:11" s="144" customFormat="1" ht="9.75">
      <c r="A445" s="113" t="s">
        <v>56</v>
      </c>
      <c r="B445" s="9"/>
      <c r="C445" s="9"/>
      <c r="D445" s="9"/>
      <c r="E445" s="9"/>
      <c r="F445" s="9"/>
      <c r="G445" s="9"/>
      <c r="H445" s="108">
        <f>'2019 Certified Estimate'!H456</f>
        <v>-1351790</v>
      </c>
      <c r="I445" s="118">
        <v>-1164610</v>
      </c>
      <c r="J445" s="126">
        <f t="shared" si="42"/>
        <v>-0.13846825320500966</v>
      </c>
      <c r="K445" s="9"/>
    </row>
    <row r="446" spans="1:11" s="144" customFormat="1" ht="9.75">
      <c r="A446" s="113" t="s">
        <v>57</v>
      </c>
      <c r="B446" s="9"/>
      <c r="C446" s="9"/>
      <c r="D446" s="9"/>
      <c r="E446" s="9"/>
      <c r="F446" s="9"/>
      <c r="G446" s="9"/>
      <c r="H446" s="108">
        <f>'2019 Certified Estimate'!H457</f>
        <v>0</v>
      </c>
      <c r="I446" s="118">
        <v>0</v>
      </c>
      <c r="J446" s="126">
        <v>0</v>
      </c>
      <c r="K446" s="9"/>
    </row>
    <row r="447" spans="1:11" s="144" customFormat="1" ht="9.75">
      <c r="A447" s="113" t="s">
        <v>58</v>
      </c>
      <c r="B447" s="9"/>
      <c r="C447" s="9"/>
      <c r="D447" s="9"/>
      <c r="E447" s="9"/>
      <c r="F447" s="9"/>
      <c r="G447" s="9"/>
      <c r="H447" s="108">
        <f>'2019 Certified Estimate'!H458</f>
        <v>-1593820</v>
      </c>
      <c r="I447" s="118">
        <v>-1499430</v>
      </c>
      <c r="J447" s="126">
        <f t="shared" si="42"/>
        <v>-0.05922249689425406</v>
      </c>
      <c r="K447" s="9"/>
    </row>
    <row r="448" spans="1:11" s="144" customFormat="1" ht="10.5" thickBot="1">
      <c r="A448" s="113" t="s">
        <v>59</v>
      </c>
      <c r="B448" s="9"/>
      <c r="C448" s="9"/>
      <c r="D448" s="9"/>
      <c r="E448" s="9"/>
      <c r="F448" s="9"/>
      <c r="G448" s="9"/>
      <c r="H448" s="108">
        <f>'2019 Certified Estimate'!H459</f>
        <v>-110000</v>
      </c>
      <c r="I448" s="120">
        <v>-90000</v>
      </c>
      <c r="J448" s="126">
        <f t="shared" si="42"/>
        <v>-0.18181818181818182</v>
      </c>
      <c r="K448" s="9"/>
    </row>
    <row r="449" spans="1:11" s="144" customFormat="1" ht="10.5" thickBot="1">
      <c r="A449" s="250" t="s">
        <v>60</v>
      </c>
      <c r="B449" s="253"/>
      <c r="C449" s="253"/>
      <c r="D449" s="253"/>
      <c r="E449" s="253"/>
      <c r="F449" s="253"/>
      <c r="G449" s="253"/>
      <c r="H449" s="254">
        <f>SUM(H437:H448)</f>
        <v>283975370</v>
      </c>
      <c r="I449" s="255">
        <f>SUM(I437:I448)</f>
        <v>265945130</v>
      </c>
      <c r="J449" s="256">
        <f t="shared" si="42"/>
        <v>-0.06349226695258818</v>
      </c>
      <c r="K449" s="9"/>
    </row>
    <row r="450" spans="1:11" s="144" customFormat="1" ht="10.5">
      <c r="A450" s="121" t="s">
        <v>61</v>
      </c>
      <c r="B450" s="9"/>
      <c r="C450" s="9"/>
      <c r="D450" s="9"/>
      <c r="E450" s="108">
        <f>'2019 Certified Estimate'!E461</f>
        <v>20795970</v>
      </c>
      <c r="F450" s="122">
        <v>18104060</v>
      </c>
      <c r="G450" s="123"/>
      <c r="H450" s="125"/>
      <c r="J450" s="104"/>
      <c r="K450" s="146"/>
    </row>
    <row r="451" spans="1:11" s="144" customFormat="1" ht="10.5">
      <c r="A451" s="121" t="s">
        <v>19</v>
      </c>
      <c r="B451" s="104"/>
      <c r="C451" s="104"/>
      <c r="D451" s="104"/>
      <c r="E451" s="248">
        <f>'2019 Certified Estimate'!E462</f>
        <v>89904.36</v>
      </c>
      <c r="F451" s="128">
        <v>72464.26</v>
      </c>
      <c r="G451" s="123"/>
      <c r="H451" s="213"/>
      <c r="J451" s="154"/>
      <c r="K451" s="146"/>
    </row>
    <row r="452" spans="1:11" s="144" customFormat="1" ht="10.5">
      <c r="A452" s="121" t="s">
        <v>197</v>
      </c>
      <c r="B452" s="104"/>
      <c r="C452" s="104"/>
      <c r="D452" s="104"/>
      <c r="E452" s="217">
        <v>0.5009</v>
      </c>
      <c r="F452" s="129">
        <v>0.4961</v>
      </c>
      <c r="G452" s="123"/>
      <c r="H452" s="124"/>
      <c r="I452" s="125"/>
      <c r="J452" s="154"/>
      <c r="K452" s="146"/>
    </row>
    <row r="453" spans="1:11" s="144" customFormat="1" ht="9.75">
      <c r="A453" s="121" t="s">
        <v>62</v>
      </c>
      <c r="B453" s="9"/>
      <c r="C453" s="9"/>
      <c r="D453" s="9"/>
      <c r="E453" s="9"/>
      <c r="F453" s="9"/>
      <c r="G453" s="9"/>
      <c r="H453" s="125">
        <f>(H449-E450)*E452/100+E451</f>
        <v>1408169.9746</v>
      </c>
      <c r="I453" s="125">
        <f>(I449-F450)*F452/100+F451</f>
        <v>1302003.80827</v>
      </c>
      <c r="J453" s="126">
        <f>(I453-H453)/H453</f>
        <v>-0.07539300527988985</v>
      </c>
      <c r="K453" s="9"/>
    </row>
    <row r="454" spans="1:11" s="144" customFormat="1" ht="9.75">
      <c r="A454" s="121" t="s">
        <v>18</v>
      </c>
      <c r="B454" s="9"/>
      <c r="C454" s="9"/>
      <c r="D454" s="9"/>
      <c r="E454" s="9"/>
      <c r="F454" s="9"/>
      <c r="G454" s="9"/>
      <c r="H454" s="108">
        <f>'2019 Certified Estimate'!H466</f>
        <v>1435</v>
      </c>
      <c r="I454" s="118">
        <v>2590470</v>
      </c>
      <c r="J454" s="126">
        <f>(I454-H454)/H454</f>
        <v>1804.205574912892</v>
      </c>
      <c r="K454" s="9"/>
    </row>
    <row r="455" spans="1:11" s="144" customFormat="1" ht="9.75">
      <c r="A455" s="121" t="s">
        <v>17</v>
      </c>
      <c r="B455" s="9"/>
      <c r="C455" s="9"/>
      <c r="D455" s="9"/>
      <c r="E455" s="9"/>
      <c r="F455" s="9"/>
      <c r="G455" s="9"/>
      <c r="H455" s="108" t="e">
        <f>'2019 Certified Estimate'!#REF!</f>
        <v>#REF!</v>
      </c>
      <c r="I455" s="118">
        <v>1352</v>
      </c>
      <c r="J455" s="126" t="e">
        <f>(I455-H455)/H455</f>
        <v>#REF!</v>
      </c>
      <c r="K455" s="9"/>
    </row>
    <row r="456" spans="1:12" s="136" customFormat="1" ht="10.5" thickBot="1">
      <c r="A456" s="132"/>
      <c r="H456" s="140"/>
      <c r="I456" s="140"/>
      <c r="J456" s="135"/>
      <c r="K456" s="150"/>
      <c r="L456" s="150"/>
    </row>
    <row r="457" spans="1:11" ht="10.5" thickBot="1">
      <c r="A457" s="267" t="s">
        <v>7</v>
      </c>
      <c r="B457" s="95" t="s">
        <v>32</v>
      </c>
      <c r="C457" s="96"/>
      <c r="D457" s="97"/>
      <c r="E457" s="95" t="s">
        <v>33</v>
      </c>
      <c r="F457" s="96"/>
      <c r="G457" s="97"/>
      <c r="H457" s="95" t="s">
        <v>34</v>
      </c>
      <c r="I457" s="96"/>
      <c r="J457" s="97"/>
      <c r="K457" s="99"/>
    </row>
    <row r="458" spans="1:11" ht="9.75">
      <c r="A458" s="9" t="s">
        <v>35</v>
      </c>
      <c r="B458" s="101" t="s">
        <v>193</v>
      </c>
      <c r="C458" s="102" t="s">
        <v>188</v>
      </c>
      <c r="D458" s="100" t="s">
        <v>67</v>
      </c>
      <c r="E458" s="101" t="str">
        <f>B458</f>
        <v>2013 Certified</v>
      </c>
      <c r="F458" s="102" t="s">
        <v>188</v>
      </c>
      <c r="G458" s="100" t="s">
        <v>67</v>
      </c>
      <c r="H458" s="101" t="s">
        <v>187</v>
      </c>
      <c r="I458" s="102" t="s">
        <v>189</v>
      </c>
      <c r="J458" s="100" t="s">
        <v>67</v>
      </c>
      <c r="K458" s="207" t="s">
        <v>71</v>
      </c>
    </row>
    <row r="459" spans="2:11" ht="9.75">
      <c r="B459" s="103"/>
      <c r="C459" s="104"/>
      <c r="D459" s="105"/>
      <c r="E459" s="103"/>
      <c r="F459" s="104"/>
      <c r="G459" s="105"/>
      <c r="H459" s="103"/>
      <c r="I459" s="104"/>
      <c r="J459" s="105"/>
      <c r="K459" s="106"/>
    </row>
    <row r="460" spans="1:11" ht="9.75">
      <c r="A460" s="9" t="s">
        <v>36</v>
      </c>
      <c r="B460" s="107">
        <v>0</v>
      </c>
      <c r="C460" s="108">
        <v>0</v>
      </c>
      <c r="D460" s="153">
        <v>0</v>
      </c>
      <c r="E460" s="107">
        <f>'2019 Certified Estimate'!E472</f>
        <v>38867920</v>
      </c>
      <c r="F460" s="108">
        <v>35671810</v>
      </c>
      <c r="G460" s="110">
        <f>(F460-E460)/E460</f>
        <v>-0.08223002414330378</v>
      </c>
      <c r="H460" s="107">
        <f aca="true" t="shared" si="43" ref="H460:I470">B460+E460</f>
        <v>38867920</v>
      </c>
      <c r="I460" s="108">
        <f t="shared" si="43"/>
        <v>35671810</v>
      </c>
      <c r="J460" s="110">
        <f aca="true" t="shared" si="44" ref="J460:J468">(I460-H460)/H460</f>
        <v>-0.08223002414330378</v>
      </c>
      <c r="K460" s="111">
        <f>I460/I471</f>
        <v>0.21193288550251804</v>
      </c>
    </row>
    <row r="461" spans="1:11" ht="9.75">
      <c r="A461" s="9" t="s">
        <v>37</v>
      </c>
      <c r="B461" s="107">
        <v>0</v>
      </c>
      <c r="C461" s="108">
        <v>0</v>
      </c>
      <c r="D461" s="153">
        <v>0</v>
      </c>
      <c r="E461" s="107">
        <f>'2019 Certified Estimate'!E473</f>
        <v>1640950</v>
      </c>
      <c r="F461" s="108">
        <v>984020</v>
      </c>
      <c r="G461" s="110">
        <f>(F461-E461)/E461</f>
        <v>-0.40033517169932054</v>
      </c>
      <c r="H461" s="107">
        <f t="shared" si="43"/>
        <v>1640950</v>
      </c>
      <c r="I461" s="108">
        <f t="shared" si="43"/>
        <v>984020</v>
      </c>
      <c r="J461" s="110">
        <f t="shared" si="44"/>
        <v>-0.40033517169932054</v>
      </c>
      <c r="K461" s="111">
        <f>I461/I471</f>
        <v>0.005846246601789699</v>
      </c>
    </row>
    <row r="462" spans="1:11" ht="9.75">
      <c r="A462" s="9" t="s">
        <v>38</v>
      </c>
      <c r="B462" s="107">
        <v>0</v>
      </c>
      <c r="C462" s="108">
        <v>0</v>
      </c>
      <c r="D462" s="153">
        <v>0</v>
      </c>
      <c r="E462" s="107">
        <f>'2019 Certified Estimate'!E474</f>
        <v>1720480</v>
      </c>
      <c r="F462" s="108">
        <v>1905830</v>
      </c>
      <c r="G462" s="110">
        <f>(F462-E462)/E462</f>
        <v>0.10773156328466474</v>
      </c>
      <c r="H462" s="107">
        <f t="shared" si="43"/>
        <v>1720480</v>
      </c>
      <c r="I462" s="108">
        <f t="shared" si="43"/>
        <v>1905830</v>
      </c>
      <c r="J462" s="110">
        <f t="shared" si="44"/>
        <v>0.10773156328466474</v>
      </c>
      <c r="K462" s="111">
        <f>I462/I471</f>
        <v>0.011322891974846917</v>
      </c>
    </row>
    <row r="463" spans="1:11" ht="9.75">
      <c r="A463" s="9" t="s">
        <v>39</v>
      </c>
      <c r="B463" s="107">
        <v>0</v>
      </c>
      <c r="C463" s="108">
        <v>0</v>
      </c>
      <c r="D463" s="153">
        <v>0</v>
      </c>
      <c r="E463" s="107">
        <f>'2019 Certified Estimate'!E475</f>
        <v>657170</v>
      </c>
      <c r="F463" s="108">
        <v>3793180</v>
      </c>
      <c r="G463" s="110">
        <f>(F463-E463)/E463</f>
        <v>4.7719920264163</v>
      </c>
      <c r="H463" s="107">
        <f t="shared" si="43"/>
        <v>657170</v>
      </c>
      <c r="I463" s="108">
        <f t="shared" si="43"/>
        <v>3793180</v>
      </c>
      <c r="J463" s="110">
        <f t="shared" si="44"/>
        <v>4.7719920264163</v>
      </c>
      <c r="K463" s="111">
        <f>I463/I471</f>
        <v>0.022535990818252322</v>
      </c>
    </row>
    <row r="464" spans="1:11" ht="9.75">
      <c r="A464" s="9" t="s">
        <v>40</v>
      </c>
      <c r="B464" s="107">
        <v>0</v>
      </c>
      <c r="C464" s="108">
        <v>0</v>
      </c>
      <c r="D464" s="153">
        <v>0</v>
      </c>
      <c r="E464" s="107">
        <f>'2019 Certified Estimate'!E476</f>
        <v>12350550</v>
      </c>
      <c r="F464" s="108">
        <v>47537860</v>
      </c>
      <c r="G464" s="110">
        <f>(F464-E464)/E464</f>
        <v>2.849048018104457</v>
      </c>
      <c r="H464" s="107">
        <f t="shared" si="43"/>
        <v>12350550</v>
      </c>
      <c r="I464" s="108">
        <f t="shared" si="43"/>
        <v>47537860</v>
      </c>
      <c r="J464" s="110">
        <f t="shared" si="44"/>
        <v>2.849048018104457</v>
      </c>
      <c r="K464" s="111">
        <f>I464/I471</f>
        <v>0.2824313047309551</v>
      </c>
    </row>
    <row r="465" spans="1:11" ht="9.75">
      <c r="A465" s="9" t="s">
        <v>41</v>
      </c>
      <c r="B465" s="107">
        <f>'2019 Certified Estimate'!B477</f>
        <v>2076270</v>
      </c>
      <c r="C465" s="109">
        <v>3798410</v>
      </c>
      <c r="D465" s="153">
        <f>(C465-B465)/B465</f>
        <v>0.8294393311081892</v>
      </c>
      <c r="E465" s="107">
        <f>'2019 Certified Estimate'!E477</f>
        <v>0</v>
      </c>
      <c r="F465" s="108">
        <v>0</v>
      </c>
      <c r="G465" s="110">
        <v>0</v>
      </c>
      <c r="H465" s="107">
        <f t="shared" si="43"/>
        <v>2076270</v>
      </c>
      <c r="I465" s="108">
        <f t="shared" si="43"/>
        <v>3798410</v>
      </c>
      <c r="J465" s="110">
        <f t="shared" si="44"/>
        <v>0.8294393311081892</v>
      </c>
      <c r="K465" s="111">
        <f>I465/I471</f>
        <v>0.022567063225040155</v>
      </c>
    </row>
    <row r="466" spans="1:11" ht="9.75">
      <c r="A466" s="9" t="s">
        <v>42</v>
      </c>
      <c r="B466" s="107">
        <f>'2019 Certified Estimate'!B478</f>
        <v>12644190</v>
      </c>
      <c r="C466" s="109">
        <v>6401580</v>
      </c>
      <c r="D466" s="153">
        <f>(C466-B466)/B466</f>
        <v>-0.49371371357121335</v>
      </c>
      <c r="E466" s="107">
        <f>'2019 Certified Estimate'!E478</f>
        <v>274790</v>
      </c>
      <c r="F466" s="108">
        <v>300290</v>
      </c>
      <c r="G466" s="110">
        <f aca="true" t="shared" si="45" ref="G466:G471">(F466-E466)/E466</f>
        <v>0.09279813675897959</v>
      </c>
      <c r="H466" s="107">
        <f t="shared" si="43"/>
        <v>12918980</v>
      </c>
      <c r="I466" s="108">
        <f t="shared" si="43"/>
        <v>6701870</v>
      </c>
      <c r="J466" s="110">
        <f t="shared" si="44"/>
        <v>-0.48123845690604056</v>
      </c>
      <c r="K466" s="111">
        <f>I466/I471</f>
        <v>0.03981706135356632</v>
      </c>
    </row>
    <row r="467" spans="1:11" ht="9.75">
      <c r="A467" s="9" t="s">
        <v>43</v>
      </c>
      <c r="B467" s="107">
        <f>'2019 Certified Estimate'!B479</f>
        <v>142255820</v>
      </c>
      <c r="C467" s="109">
        <v>52870910</v>
      </c>
      <c r="D467" s="153">
        <f>(C467-B467)/B467</f>
        <v>-0.6283392131162016</v>
      </c>
      <c r="E467" s="107">
        <f>'2019 Certified Estimate'!E479</f>
        <v>5146240</v>
      </c>
      <c r="F467" s="108">
        <v>2595980</v>
      </c>
      <c r="G467" s="110">
        <f t="shared" si="45"/>
        <v>-0.49555792190026116</v>
      </c>
      <c r="H467" s="107">
        <f t="shared" si="43"/>
        <v>147402060</v>
      </c>
      <c r="I467" s="108">
        <f t="shared" si="43"/>
        <v>55466890</v>
      </c>
      <c r="J467" s="110">
        <f t="shared" si="44"/>
        <v>-0.6237034272112615</v>
      </c>
      <c r="K467" s="111">
        <f>I467/I471</f>
        <v>0.32953915283667307</v>
      </c>
    </row>
    <row r="468" spans="1:11" ht="9.75">
      <c r="A468" s="9" t="s">
        <v>44</v>
      </c>
      <c r="B468" s="107">
        <v>0</v>
      </c>
      <c r="C468" s="108">
        <v>0</v>
      </c>
      <c r="D468" s="153">
        <v>0</v>
      </c>
      <c r="E468" s="107">
        <f>'2019 Certified Estimate'!E480</f>
        <v>1402490</v>
      </c>
      <c r="F468" s="108">
        <v>1282460</v>
      </c>
      <c r="G468" s="110">
        <f t="shared" si="45"/>
        <v>-0.08558349792155381</v>
      </c>
      <c r="H468" s="107">
        <f t="shared" si="43"/>
        <v>1402490</v>
      </c>
      <c r="I468" s="108">
        <f t="shared" si="43"/>
        <v>1282460</v>
      </c>
      <c r="J468" s="110">
        <f t="shared" si="44"/>
        <v>-0.08558349792155381</v>
      </c>
      <c r="K468" s="111">
        <f>I468/I471</f>
        <v>0.007619334380328874</v>
      </c>
    </row>
    <row r="469" spans="1:11" ht="9.75">
      <c r="A469" s="9" t="s">
        <v>45</v>
      </c>
      <c r="B469" s="107">
        <v>0</v>
      </c>
      <c r="C469" s="108">
        <v>0</v>
      </c>
      <c r="D469" s="153">
        <v>0</v>
      </c>
      <c r="E469" s="107">
        <f>'2019 Certified Estimate'!E481</f>
        <v>0</v>
      </c>
      <c r="F469" s="108">
        <v>0</v>
      </c>
      <c r="G469" s="110">
        <v>0</v>
      </c>
      <c r="H469" s="107">
        <f t="shared" si="43"/>
        <v>0</v>
      </c>
      <c r="I469" s="108">
        <f t="shared" si="43"/>
        <v>0</v>
      </c>
      <c r="J469" s="110">
        <v>0</v>
      </c>
      <c r="K469" s="111">
        <f>I469/I471</f>
        <v>0</v>
      </c>
    </row>
    <row r="470" spans="1:11" ht="10.5" thickBot="1">
      <c r="A470" s="9" t="s">
        <v>46</v>
      </c>
      <c r="B470" s="107">
        <v>0</v>
      </c>
      <c r="C470" s="108">
        <v>0</v>
      </c>
      <c r="D470" s="153">
        <v>0</v>
      </c>
      <c r="E470" s="107">
        <f>'2019 Certified Estimate'!E482</f>
        <v>11660010</v>
      </c>
      <c r="F470" s="108">
        <v>11174210</v>
      </c>
      <c r="G470" s="110">
        <f t="shared" si="45"/>
        <v>-0.041663772157999865</v>
      </c>
      <c r="H470" s="107">
        <f t="shared" si="43"/>
        <v>11660010</v>
      </c>
      <c r="I470" s="108">
        <f t="shared" si="43"/>
        <v>11174210</v>
      </c>
      <c r="J470" s="110">
        <f aca="true" t="shared" si="46" ref="J470:J475">(I470-H470)/H470</f>
        <v>-0.041663772157999865</v>
      </c>
      <c r="K470" s="111">
        <f>I470/I471</f>
        <v>0.06638806857602943</v>
      </c>
    </row>
    <row r="471" spans="1:11" ht="10.5" thickBot="1">
      <c r="A471" s="250" t="s">
        <v>47</v>
      </c>
      <c r="B471" s="259">
        <f>SUM(B460:B470)</f>
        <v>156976280</v>
      </c>
      <c r="C471" s="260">
        <f>SUM(C460:C470)</f>
        <v>63070900</v>
      </c>
      <c r="D471" s="264">
        <f>(C471-B471)/B471</f>
        <v>-0.5982138193107901</v>
      </c>
      <c r="E471" s="263">
        <f>SUM(E460:E470)</f>
        <v>73720600</v>
      </c>
      <c r="F471" s="260">
        <f>SUM(F460:F470)</f>
        <v>105245640</v>
      </c>
      <c r="G471" s="256">
        <f t="shared" si="45"/>
        <v>0.42762864111252485</v>
      </c>
      <c r="H471" s="263">
        <f>SUM(H460:H470)</f>
        <v>230696880</v>
      </c>
      <c r="I471" s="255">
        <f>SUM(I460:I470)</f>
        <v>168316540</v>
      </c>
      <c r="J471" s="256">
        <f t="shared" si="46"/>
        <v>-0.2703995823437231</v>
      </c>
      <c r="K471" s="261">
        <f>SUM(K460:K470)</f>
        <v>1.0000000000000002</v>
      </c>
    </row>
    <row r="472" spans="1:10" ht="9.75">
      <c r="A472" s="113" t="str">
        <f>A16</f>
        <v>Less Minimum Value Loss</v>
      </c>
      <c r="G472" s="104"/>
      <c r="H472" s="108">
        <f>'2019 Certified Estimate'!H484</f>
        <v>0</v>
      </c>
      <c r="I472" s="118">
        <v>0</v>
      </c>
      <c r="J472" s="117">
        <v>0</v>
      </c>
    </row>
    <row r="473" spans="1:10" ht="9.75">
      <c r="A473" s="113" t="s">
        <v>174</v>
      </c>
      <c r="G473" s="104"/>
      <c r="H473" s="108">
        <f>'2019 Certified Estimate'!H485</f>
        <v>-44300</v>
      </c>
      <c r="I473" s="118">
        <v>-151190</v>
      </c>
      <c r="J473" s="117">
        <f t="shared" si="46"/>
        <v>2.412866817155756</v>
      </c>
    </row>
    <row r="474" spans="1:10" ht="10.5" thickBot="1">
      <c r="A474" s="113" t="s">
        <v>49</v>
      </c>
      <c r="G474" s="104"/>
      <c r="H474" s="108">
        <f>'2019 Certified Estimate'!H486</f>
        <v>-441720</v>
      </c>
      <c r="I474" s="118">
        <v>-425960</v>
      </c>
      <c r="J474" s="117">
        <f t="shared" si="46"/>
        <v>-0.03567871049533641</v>
      </c>
    </row>
    <row r="475" spans="1:10" ht="10.5" thickBot="1">
      <c r="A475" s="250" t="s">
        <v>50</v>
      </c>
      <c r="B475" s="253"/>
      <c r="C475" s="253"/>
      <c r="D475" s="253"/>
      <c r="E475" s="253"/>
      <c r="F475" s="253"/>
      <c r="G475" s="253"/>
      <c r="H475" s="254">
        <f>SUM(H471:H474)</f>
        <v>230210860</v>
      </c>
      <c r="I475" s="255">
        <f>SUM(I471:I474)</f>
        <v>167739390</v>
      </c>
      <c r="J475" s="256">
        <f t="shared" si="46"/>
        <v>-0.2713663030493001</v>
      </c>
    </row>
    <row r="476" spans="1:10" ht="9.75">
      <c r="A476" s="113" t="s">
        <v>127</v>
      </c>
      <c r="G476" s="104"/>
      <c r="H476" s="108">
        <f>'2019 Certified Estimate'!H488</f>
        <v>-53960</v>
      </c>
      <c r="I476" s="120">
        <v>-62670</v>
      </c>
      <c r="J476" s="117">
        <f>(I476-H476)/H476</f>
        <v>0.16141586360266863</v>
      </c>
    </row>
    <row r="477" spans="1:10" ht="9.75">
      <c r="A477" s="113" t="s">
        <v>78</v>
      </c>
      <c r="G477" s="104"/>
      <c r="H477" s="108">
        <f>'2019 Certified Estimate'!H489</f>
        <v>-130750</v>
      </c>
      <c r="I477" s="120">
        <v>-13230</v>
      </c>
      <c r="J477" s="117">
        <v>1</v>
      </c>
    </row>
    <row r="478" spans="1:10" ht="9.75">
      <c r="A478" s="113" t="s">
        <v>128</v>
      </c>
      <c r="G478" s="104"/>
      <c r="H478" s="108">
        <f>'2019 Certified Estimate'!H490</f>
        <v>0</v>
      </c>
      <c r="I478" s="120">
        <v>-5906850</v>
      </c>
      <c r="J478" s="117">
        <v>0</v>
      </c>
    </row>
    <row r="479" spans="1:10" ht="9.75">
      <c r="A479" s="113" t="s">
        <v>157</v>
      </c>
      <c r="G479" s="104"/>
      <c r="H479" s="108">
        <f>'2019 Certified Estimate'!H491</f>
        <v>-11934730</v>
      </c>
      <c r="I479" s="118">
        <v>-11505841</v>
      </c>
      <c r="J479" s="117">
        <f>(I479-H479)/H479</f>
        <v>-0.035936213052159535</v>
      </c>
    </row>
    <row r="480" spans="1:10" ht="9.75">
      <c r="A480" s="113" t="s">
        <v>53</v>
      </c>
      <c r="G480" s="104"/>
      <c r="H480" s="108">
        <f>'2019 Certified Estimate'!H492</f>
        <v>0</v>
      </c>
      <c r="I480" s="118">
        <v>0</v>
      </c>
      <c r="J480" s="117">
        <v>0</v>
      </c>
    </row>
    <row r="481" spans="1:10" ht="9.75">
      <c r="A481" s="113" t="s">
        <v>54</v>
      </c>
      <c r="G481" s="104"/>
      <c r="H481" s="108">
        <f>'2019 Certified Estimate'!H493</f>
        <v>0</v>
      </c>
      <c r="I481" s="118">
        <v>0</v>
      </c>
      <c r="J481" s="117">
        <v>0</v>
      </c>
    </row>
    <row r="482" spans="1:10" ht="9.75">
      <c r="A482" s="113" t="s">
        <v>55</v>
      </c>
      <c r="G482" s="104"/>
      <c r="H482" s="108">
        <f>'2019 Certified Estimate'!H494</f>
        <v>0</v>
      </c>
      <c r="I482" s="118">
        <v>0</v>
      </c>
      <c r="J482" s="117">
        <v>0</v>
      </c>
    </row>
    <row r="483" spans="1:10" ht="9.75">
      <c r="A483" s="113" t="s">
        <v>56</v>
      </c>
      <c r="G483" s="104"/>
      <c r="H483" s="108">
        <f>'2019 Certified Estimate'!H495</f>
        <v>-451860</v>
      </c>
      <c r="I483" s="118">
        <v>-439715</v>
      </c>
      <c r="J483" s="117">
        <f>(I483-H483)/H483</f>
        <v>-0.026877794006993316</v>
      </c>
    </row>
    <row r="484" spans="1:10" ht="9.75">
      <c r="A484" s="113" t="s">
        <v>57</v>
      </c>
      <c r="G484" s="104"/>
      <c r="H484" s="108">
        <f>'2019 Certified Estimate'!H496</f>
        <v>0</v>
      </c>
      <c r="I484" s="118">
        <v>0</v>
      </c>
      <c r="J484" s="117">
        <v>0</v>
      </c>
    </row>
    <row r="485" spans="1:10" ht="9.75">
      <c r="A485" s="113" t="s">
        <v>58</v>
      </c>
      <c r="G485" s="104"/>
      <c r="H485" s="108">
        <f>'2019 Certified Estimate'!H497</f>
        <v>-438000</v>
      </c>
      <c r="I485" s="118">
        <v>-409500</v>
      </c>
      <c r="J485" s="117">
        <f>(I485-H485)/H485</f>
        <v>-0.06506849315068493</v>
      </c>
    </row>
    <row r="486" spans="1:10" ht="10.5" thickBot="1">
      <c r="A486" s="113" t="s">
        <v>59</v>
      </c>
      <c r="G486" s="104"/>
      <c r="H486" s="108">
        <f>'2019 Certified Estimate'!H498</f>
        <v>0</v>
      </c>
      <c r="I486" s="120">
        <v>0</v>
      </c>
      <c r="J486" s="117">
        <v>0</v>
      </c>
    </row>
    <row r="487" spans="1:10" ht="10.5" thickBot="1">
      <c r="A487" s="250" t="s">
        <v>60</v>
      </c>
      <c r="B487" s="253"/>
      <c r="C487" s="253"/>
      <c r="D487" s="253"/>
      <c r="E487" s="253"/>
      <c r="F487" s="253"/>
      <c r="G487" s="253"/>
      <c r="H487" s="254">
        <f>SUM(H475:H486)</f>
        <v>217201560</v>
      </c>
      <c r="I487" s="255">
        <f>SUM(I475:I486)</f>
        <v>149401584</v>
      </c>
      <c r="J487" s="256">
        <f>(I487-H487)/H487</f>
        <v>-0.31215234365720024</v>
      </c>
    </row>
    <row r="488" spans="1:12" ht="10.5">
      <c r="A488" s="121" t="str">
        <f>A412</f>
        <v>2014 Adpoted/2014 Revenue Neutral Tax Rate</v>
      </c>
      <c r="E488" s="217">
        <v>0.259682</v>
      </c>
      <c r="F488" s="141">
        <v>0.33374</v>
      </c>
      <c r="G488" s="123">
        <f>(F488-E488)/E488</f>
        <v>0.285187267504101</v>
      </c>
      <c r="H488" s="124"/>
      <c r="I488" s="125"/>
      <c r="K488" s="146"/>
      <c r="L488" s="146"/>
    </row>
    <row r="489" spans="1:12" ht="10.5">
      <c r="A489" s="146"/>
      <c r="B489" s="104"/>
      <c r="C489" s="104"/>
      <c r="D489" s="104"/>
      <c r="E489" s="104"/>
      <c r="F489" s="104"/>
      <c r="G489" s="104"/>
      <c r="H489" s="124"/>
      <c r="I489" s="125"/>
      <c r="J489" s="146"/>
      <c r="K489" s="146"/>
      <c r="L489" s="146"/>
    </row>
    <row r="490" spans="1:10" ht="10.5">
      <c r="A490" s="146"/>
      <c r="G490" s="123"/>
      <c r="H490" s="146"/>
      <c r="I490" s="148"/>
      <c r="J490" s="146"/>
    </row>
    <row r="491" spans="1:10" ht="9.75">
      <c r="A491" s="121" t="s">
        <v>62</v>
      </c>
      <c r="G491" s="104"/>
      <c r="H491" s="125">
        <f>(H487*E488)/100</f>
        <v>564033.3550392</v>
      </c>
      <c r="I491" s="125">
        <f>(I487*F488)/100</f>
        <v>498612.84644159995</v>
      </c>
      <c r="J491" s="123">
        <f>(I491-H491)/H491</f>
        <v>-0.11598695008569733</v>
      </c>
    </row>
    <row r="492" spans="1:10" ht="9.75">
      <c r="A492" s="121" t="s">
        <v>18</v>
      </c>
      <c r="G492" s="104"/>
      <c r="H492" s="108">
        <f>'2019 Certified Estimate'!H504</f>
        <v>633890</v>
      </c>
      <c r="I492" s="118">
        <v>1393090</v>
      </c>
      <c r="J492" s="123">
        <f>(I492-H492)/H492</f>
        <v>1.1976841407815235</v>
      </c>
    </row>
    <row r="493" spans="1:10" ht="9.75">
      <c r="A493" s="121" t="s">
        <v>17</v>
      </c>
      <c r="G493" s="104"/>
      <c r="H493" s="108">
        <f>'2019 Certified Estimate'!H505</f>
        <v>4099</v>
      </c>
      <c r="I493" s="118">
        <v>3065</v>
      </c>
      <c r="J493" s="123">
        <f>(I493-H493)/H493</f>
        <v>-0.2522566479629178</v>
      </c>
    </row>
    <row r="494" spans="1:10" s="136" customFormat="1" ht="10.5" thickBot="1">
      <c r="A494" s="132"/>
      <c r="H494" s="140"/>
      <c r="I494" s="140"/>
      <c r="J494" s="135"/>
    </row>
    <row r="495" spans="1:49" s="136" customFormat="1" ht="10.5" thickBot="1">
      <c r="A495" s="267" t="s">
        <v>88</v>
      </c>
      <c r="B495" s="95" t="s">
        <v>32</v>
      </c>
      <c r="C495" s="96"/>
      <c r="D495" s="97"/>
      <c r="E495" s="95" t="s">
        <v>33</v>
      </c>
      <c r="F495" s="96"/>
      <c r="G495" s="97"/>
      <c r="H495" s="95" t="s">
        <v>34</v>
      </c>
      <c r="I495" s="96"/>
      <c r="J495" s="97"/>
      <c r="K495" s="99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  <c r="AW495" s="144"/>
    </row>
    <row r="496" spans="1:49" s="136" customFormat="1" ht="9.75">
      <c r="A496" s="9" t="s">
        <v>35</v>
      </c>
      <c r="B496" s="101" t="s">
        <v>193</v>
      </c>
      <c r="C496" s="102" t="s">
        <v>188</v>
      </c>
      <c r="D496" s="100" t="s">
        <v>67</v>
      </c>
      <c r="E496" s="101" t="str">
        <f>B496</f>
        <v>2013 Certified</v>
      </c>
      <c r="F496" s="102" t="s">
        <v>188</v>
      </c>
      <c r="G496" s="100" t="s">
        <v>67</v>
      </c>
      <c r="H496" s="101" t="s">
        <v>187</v>
      </c>
      <c r="I496" s="102" t="s">
        <v>189</v>
      </c>
      <c r="J496" s="100" t="s">
        <v>67</v>
      </c>
      <c r="K496" s="207" t="s">
        <v>71</v>
      </c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</row>
    <row r="497" spans="1:49" s="136" customFormat="1" ht="9.75">
      <c r="A497" s="9"/>
      <c r="B497" s="103"/>
      <c r="C497" s="104"/>
      <c r="D497" s="105"/>
      <c r="E497" s="103"/>
      <c r="F497" s="104"/>
      <c r="G497" s="105"/>
      <c r="H497" s="103"/>
      <c r="I497" s="104"/>
      <c r="J497" s="105"/>
      <c r="K497" s="106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</row>
    <row r="498" spans="1:49" s="136" customFormat="1" ht="9.75">
      <c r="A498" s="9" t="s">
        <v>36</v>
      </c>
      <c r="B498" s="107">
        <v>0</v>
      </c>
      <c r="C498" s="109">
        <v>0</v>
      </c>
      <c r="D498" s="105"/>
      <c r="E498" s="108">
        <f>'2019 Certified Estimate'!E511</f>
        <v>374258270</v>
      </c>
      <c r="F498" s="109">
        <v>314677840</v>
      </c>
      <c r="G498" s="110">
        <f>(F498-E498)/E498</f>
        <v>-0.1591960279194365</v>
      </c>
      <c r="H498" s="107">
        <f aca="true" t="shared" si="47" ref="H498:I508">B498+E498</f>
        <v>374258270</v>
      </c>
      <c r="I498" s="108">
        <f t="shared" si="47"/>
        <v>314677840</v>
      </c>
      <c r="J498" s="110">
        <f>(I498-H498)/H498</f>
        <v>-0.1591960279194365</v>
      </c>
      <c r="K498" s="111">
        <f>I498/I509</f>
        <v>0.3210500477691225</v>
      </c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</row>
    <row r="499" spans="1:49" s="136" customFormat="1" ht="9.75">
      <c r="A499" s="9" t="s">
        <v>37</v>
      </c>
      <c r="B499" s="107">
        <v>0</v>
      </c>
      <c r="C499" s="109">
        <v>0</v>
      </c>
      <c r="D499" s="105"/>
      <c r="E499" s="108">
        <f>'2019 Certified Estimate'!E512</f>
        <v>3149640</v>
      </c>
      <c r="F499" s="109">
        <v>2026890</v>
      </c>
      <c r="G499" s="110">
        <f>(F499-E499)/E499</f>
        <v>-0.3564693107783747</v>
      </c>
      <c r="H499" s="107">
        <f t="shared" si="47"/>
        <v>3149640</v>
      </c>
      <c r="I499" s="108">
        <f t="shared" si="47"/>
        <v>2026890</v>
      </c>
      <c r="J499" s="110">
        <f>(I499-H499)/H499</f>
        <v>-0.3564693107783747</v>
      </c>
      <c r="K499" s="111">
        <f>I499/I509</f>
        <v>0.002067934403397318</v>
      </c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  <c r="AW499" s="144"/>
    </row>
    <row r="500" spans="1:49" s="136" customFormat="1" ht="9.75">
      <c r="A500" s="9" t="s">
        <v>38</v>
      </c>
      <c r="B500" s="107">
        <v>0</v>
      </c>
      <c r="C500" s="109">
        <v>0</v>
      </c>
      <c r="D500" s="105"/>
      <c r="E500" s="108">
        <f>'2019 Certified Estimate'!E513</f>
        <v>4968710</v>
      </c>
      <c r="F500" s="109">
        <v>10006250</v>
      </c>
      <c r="G500" s="110">
        <f>(F500-E500)/E500</f>
        <v>1.013852690134864</v>
      </c>
      <c r="H500" s="107">
        <f t="shared" si="47"/>
        <v>4968710</v>
      </c>
      <c r="I500" s="108">
        <f t="shared" si="47"/>
        <v>10006250</v>
      </c>
      <c r="J500" s="110">
        <f aca="true" t="shared" si="48" ref="J500:J506">(I500-H500)/H500</f>
        <v>1.013852690134864</v>
      </c>
      <c r="K500" s="111">
        <f>I500/I509</f>
        <v>0.010208875974519789</v>
      </c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</row>
    <row r="501" spans="1:49" s="136" customFormat="1" ht="9.75">
      <c r="A501" s="9" t="s">
        <v>39</v>
      </c>
      <c r="B501" s="107">
        <v>0</v>
      </c>
      <c r="C501" s="109">
        <v>0</v>
      </c>
      <c r="D501" s="105"/>
      <c r="E501" s="108">
        <f>'2019 Certified Estimate'!E514</f>
        <v>270426180</v>
      </c>
      <c r="F501" s="109">
        <v>233530460</v>
      </c>
      <c r="G501" s="110">
        <f>(F501-E501)/E501</f>
        <v>-0.13643545902249554</v>
      </c>
      <c r="H501" s="107">
        <f t="shared" si="47"/>
        <v>270426180</v>
      </c>
      <c r="I501" s="108">
        <f t="shared" si="47"/>
        <v>233530460</v>
      </c>
      <c r="J501" s="110">
        <f t="shared" si="48"/>
        <v>-0.13643545902249554</v>
      </c>
      <c r="K501" s="111">
        <f>I501/I509</f>
        <v>0.23825943809244765</v>
      </c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  <c r="AW501" s="144"/>
    </row>
    <row r="502" spans="1:49" s="136" customFormat="1" ht="9.75">
      <c r="A502" s="9" t="s">
        <v>40</v>
      </c>
      <c r="B502" s="107">
        <v>0</v>
      </c>
      <c r="C502" s="109">
        <v>0</v>
      </c>
      <c r="D502" s="105"/>
      <c r="E502" s="108">
        <f>'2019 Certified Estimate'!E515</f>
        <v>56753510</v>
      </c>
      <c r="F502" s="109">
        <v>84476900</v>
      </c>
      <c r="G502" s="110">
        <f>(F502-E502)/E502</f>
        <v>0.4884876723924212</v>
      </c>
      <c r="H502" s="107">
        <f t="shared" si="47"/>
        <v>56753510</v>
      </c>
      <c r="I502" s="108">
        <f t="shared" si="47"/>
        <v>84476900</v>
      </c>
      <c r="J502" s="110">
        <f t="shared" si="48"/>
        <v>0.4884876723924212</v>
      </c>
      <c r="K502" s="111">
        <f>I502/I509</f>
        <v>0.08618755226102792</v>
      </c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</row>
    <row r="503" spans="1:49" s="136" customFormat="1" ht="9.75">
      <c r="A503" s="9" t="s">
        <v>41</v>
      </c>
      <c r="B503" s="107">
        <f>'2019 Certified Estimate'!B516</f>
        <v>9959450</v>
      </c>
      <c r="C503" s="109">
        <v>34498710</v>
      </c>
      <c r="D503" s="110">
        <f>(C503-B503)/B503</f>
        <v>2.4639171841818572</v>
      </c>
      <c r="E503" s="108">
        <f>'2019 Certified Estimate'!E516</f>
        <v>0</v>
      </c>
      <c r="F503" s="109">
        <v>0</v>
      </c>
      <c r="G503" s="110">
        <v>0</v>
      </c>
      <c r="H503" s="107">
        <f t="shared" si="47"/>
        <v>9959450</v>
      </c>
      <c r="I503" s="108">
        <f t="shared" si="47"/>
        <v>34498710</v>
      </c>
      <c r="J503" s="110">
        <f t="shared" si="48"/>
        <v>2.4639171841818572</v>
      </c>
      <c r="K503" s="111">
        <f>I503/I509</f>
        <v>0.03519730685031111</v>
      </c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  <c r="AW503" s="144"/>
    </row>
    <row r="504" spans="1:49" s="136" customFormat="1" ht="9.75">
      <c r="A504" s="9" t="s">
        <v>42</v>
      </c>
      <c r="B504" s="107">
        <f>'2019 Certified Estimate'!B517</f>
        <v>31341930</v>
      </c>
      <c r="C504" s="109">
        <v>32758710</v>
      </c>
      <c r="D504" s="110">
        <f>(C504-B504)/B504</f>
        <v>0.045203980737625285</v>
      </c>
      <c r="E504" s="108">
        <f>'2019 Certified Estimate'!E517</f>
        <v>203540</v>
      </c>
      <c r="F504" s="109">
        <v>189610</v>
      </c>
      <c r="G504" s="110">
        <f aca="true" t="shared" si="49" ref="G504:G509">(F504-E504)/E504</f>
        <v>-0.0684386361403164</v>
      </c>
      <c r="H504" s="107">
        <f t="shared" si="47"/>
        <v>31545470</v>
      </c>
      <c r="I504" s="108">
        <f t="shared" si="47"/>
        <v>32948320</v>
      </c>
      <c r="J504" s="110">
        <f t="shared" si="48"/>
        <v>0.044470727492727166</v>
      </c>
      <c r="K504" s="111">
        <f>I504/I509</f>
        <v>0.033615521543914034</v>
      </c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</row>
    <row r="505" spans="1:49" s="136" customFormat="1" ht="9.75">
      <c r="A505" s="9" t="s">
        <v>43</v>
      </c>
      <c r="B505" s="107">
        <f>'2019 Certified Estimate'!B518</f>
        <v>114434700</v>
      </c>
      <c r="C505" s="109">
        <v>166617570</v>
      </c>
      <c r="D505" s="110">
        <f>(C505-B505)/B505</f>
        <v>0.45600565213173977</v>
      </c>
      <c r="E505" s="108">
        <f>'2019 Certified Estimate'!E518</f>
        <v>83011060</v>
      </c>
      <c r="F505" s="109">
        <v>83288230</v>
      </c>
      <c r="G505" s="110">
        <f t="shared" si="49"/>
        <v>0.0033389526648617664</v>
      </c>
      <c r="H505" s="107">
        <f t="shared" si="47"/>
        <v>197445760</v>
      </c>
      <c r="I505" s="108">
        <f t="shared" si="47"/>
        <v>249905800</v>
      </c>
      <c r="J505" s="110">
        <f t="shared" si="48"/>
        <v>0.26569342385473355</v>
      </c>
      <c r="K505" s="111">
        <f>I505/I509</f>
        <v>0.25496637776521147</v>
      </c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  <c r="AW505" s="144"/>
    </row>
    <row r="506" spans="1:49" s="136" customFormat="1" ht="9.75">
      <c r="A506" s="9" t="s">
        <v>44</v>
      </c>
      <c r="B506" s="107">
        <v>0</v>
      </c>
      <c r="C506" s="109">
        <v>0</v>
      </c>
      <c r="D506" s="110"/>
      <c r="E506" s="108">
        <f>'2019 Certified Estimate'!E519</f>
        <v>9723450</v>
      </c>
      <c r="F506" s="109">
        <v>9466750</v>
      </c>
      <c r="G506" s="110">
        <f t="shared" si="49"/>
        <v>-0.0264000946166227</v>
      </c>
      <c r="H506" s="107">
        <f t="shared" si="47"/>
        <v>9723450</v>
      </c>
      <c r="I506" s="108">
        <f t="shared" si="47"/>
        <v>9466750</v>
      </c>
      <c r="J506" s="110">
        <f t="shared" si="48"/>
        <v>-0.0264000946166227</v>
      </c>
      <c r="K506" s="111">
        <f>I506/I509</f>
        <v>0.009658451131221508</v>
      </c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  <c r="AW506" s="144"/>
    </row>
    <row r="507" spans="1:49" s="136" customFormat="1" ht="9.75">
      <c r="A507" s="9" t="s">
        <v>45</v>
      </c>
      <c r="B507" s="107">
        <v>0</v>
      </c>
      <c r="C507" s="109">
        <v>0</v>
      </c>
      <c r="D507" s="110"/>
      <c r="E507" s="108">
        <f>'2019 Certified Estimate'!E520</f>
        <v>2527370</v>
      </c>
      <c r="F507" s="109">
        <v>3134410</v>
      </c>
      <c r="G507" s="110">
        <f t="shared" si="49"/>
        <v>0.240186438867281</v>
      </c>
      <c r="H507" s="107">
        <f t="shared" si="47"/>
        <v>2527370</v>
      </c>
      <c r="I507" s="108">
        <f t="shared" si="47"/>
        <v>3134410</v>
      </c>
      <c r="J507" s="110">
        <f>(I507-H507)/H507</f>
        <v>0.240186438867281</v>
      </c>
      <c r="K507" s="111">
        <f>I507/I509</f>
        <v>0.003197881618318008</v>
      </c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  <c r="AW507" s="144"/>
    </row>
    <row r="508" spans="1:49" s="136" customFormat="1" ht="10.5" thickBot="1">
      <c r="A508" s="9" t="s">
        <v>46</v>
      </c>
      <c r="B508" s="107">
        <v>0</v>
      </c>
      <c r="C508" s="109">
        <v>0</v>
      </c>
      <c r="D508" s="110"/>
      <c r="E508" s="108">
        <f>'2019 Certified Estimate'!E521</f>
        <v>9794570</v>
      </c>
      <c r="F508" s="109">
        <v>5479650</v>
      </c>
      <c r="G508" s="110">
        <f t="shared" si="49"/>
        <v>-0.4405420554450068</v>
      </c>
      <c r="H508" s="107">
        <f t="shared" si="47"/>
        <v>9794570</v>
      </c>
      <c r="I508" s="108">
        <f t="shared" si="47"/>
        <v>5479650</v>
      </c>
      <c r="J508" s="110">
        <f aca="true" t="shared" si="50" ref="J508:J515">(I508-H508)/H508</f>
        <v>-0.4405420554450068</v>
      </c>
      <c r="K508" s="111">
        <f>I508/I509</f>
        <v>0.005590612590508668</v>
      </c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/>
      <c r="AS508" s="144"/>
      <c r="AT508" s="144"/>
      <c r="AU508" s="144"/>
      <c r="AV508" s="144"/>
      <c r="AW508" s="144"/>
    </row>
    <row r="509" spans="1:49" s="136" customFormat="1" ht="10.5" thickBot="1">
      <c r="A509" s="250" t="s">
        <v>47</v>
      </c>
      <c r="B509" s="259">
        <f>SUM(B498:B508)</f>
        <v>155736080</v>
      </c>
      <c r="C509" s="260">
        <f>SUM(C498:C508)</f>
        <v>233874990</v>
      </c>
      <c r="D509" s="256">
        <f>(C509-B509)/B509</f>
        <v>0.5017392886735046</v>
      </c>
      <c r="E509" s="259">
        <f>SUM(E498:E508)</f>
        <v>814816300</v>
      </c>
      <c r="F509" s="260">
        <f>SUM(F498:F508)</f>
        <v>746276990</v>
      </c>
      <c r="G509" s="256">
        <f t="shared" si="49"/>
        <v>-0.08411627258806678</v>
      </c>
      <c r="H509" s="263">
        <f>SUM(H498:H508)</f>
        <v>970552380</v>
      </c>
      <c r="I509" s="255">
        <f>SUM(I498:I508)</f>
        <v>980151980</v>
      </c>
      <c r="J509" s="256">
        <f t="shared" si="50"/>
        <v>0.009890862356135791</v>
      </c>
      <c r="K509" s="261">
        <f>SUM(K498:K508)</f>
        <v>1</v>
      </c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</row>
    <row r="510" spans="1:49" s="136" customFormat="1" ht="9.75">
      <c r="A510" s="113" t="str">
        <f>A54</f>
        <v>Less Minimum Value Loss</v>
      </c>
      <c r="B510" s="9"/>
      <c r="C510" s="9"/>
      <c r="D510" s="9"/>
      <c r="E510" s="9"/>
      <c r="F510" s="9"/>
      <c r="G510" s="9"/>
      <c r="H510" s="108">
        <f>'2019 Certified Estimate'!H523</f>
        <v>0</v>
      </c>
      <c r="I510" s="118">
        <v>0</v>
      </c>
      <c r="J510" s="117">
        <v>0</v>
      </c>
      <c r="K510" s="9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</row>
    <row r="511" spans="1:49" s="136" customFormat="1" ht="9.75">
      <c r="A511" s="113" t="s">
        <v>174</v>
      </c>
      <c r="B511" s="9"/>
      <c r="C511" s="9"/>
      <c r="D511" s="9"/>
      <c r="E511" s="9"/>
      <c r="F511" s="9"/>
      <c r="G511" s="9"/>
      <c r="H511" s="108">
        <f>'2019 Certified Estimate'!H524</f>
        <v>-1394959</v>
      </c>
      <c r="I511" s="118">
        <v>-981770</v>
      </c>
      <c r="J511" s="117">
        <f t="shared" si="50"/>
        <v>-0.29620153710610847</v>
      </c>
      <c r="K511" s="9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  <c r="AW511" s="144"/>
    </row>
    <row r="512" spans="1:49" s="136" customFormat="1" ht="10.5" thickBot="1">
      <c r="A512" s="113" t="s">
        <v>49</v>
      </c>
      <c r="B512" s="9"/>
      <c r="C512" s="9"/>
      <c r="D512" s="9"/>
      <c r="E512" s="9"/>
      <c r="F512" s="9"/>
      <c r="G512" s="9"/>
      <c r="H512" s="108">
        <f>'2019 Certified Estimate'!H525</f>
        <v>-50846570</v>
      </c>
      <c r="I512" s="118">
        <v>-49370150</v>
      </c>
      <c r="J512" s="117">
        <f t="shared" si="50"/>
        <v>-0.029036766885160593</v>
      </c>
      <c r="K512" s="9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</row>
    <row r="513" spans="1:49" s="136" customFormat="1" ht="10.5" thickBot="1">
      <c r="A513" s="250" t="s">
        <v>50</v>
      </c>
      <c r="B513" s="253"/>
      <c r="C513" s="253"/>
      <c r="D513" s="253"/>
      <c r="E513" s="253"/>
      <c r="F513" s="253"/>
      <c r="G513" s="253"/>
      <c r="H513" s="254">
        <f>SUM(H509:H512)</f>
        <v>918310851</v>
      </c>
      <c r="I513" s="255">
        <f>SUM(I509:I512)</f>
        <v>929800060</v>
      </c>
      <c r="J513" s="256">
        <f t="shared" si="50"/>
        <v>0.01251124168628603</v>
      </c>
      <c r="K513" s="9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  <c r="AU513" s="144"/>
      <c r="AV513" s="144"/>
      <c r="AW513" s="144"/>
    </row>
    <row r="514" spans="1:49" s="136" customFormat="1" ht="9.75">
      <c r="A514" s="113" t="s">
        <v>127</v>
      </c>
      <c r="B514" s="9"/>
      <c r="C514" s="9"/>
      <c r="D514" s="9"/>
      <c r="E514" s="9"/>
      <c r="F514" s="9"/>
      <c r="G514" s="9"/>
      <c r="H514" s="108">
        <f>'2019 Certified Estimate'!H527</f>
        <v>-224360</v>
      </c>
      <c r="I514" s="120">
        <v>-237880</v>
      </c>
      <c r="J514" s="117">
        <f>(I514-H514)/H514</f>
        <v>0.06026029595293279</v>
      </c>
      <c r="K514" s="9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</row>
    <row r="515" spans="1:49" s="136" customFormat="1" ht="9.75">
      <c r="A515" s="113" t="s">
        <v>78</v>
      </c>
      <c r="B515" s="9"/>
      <c r="C515" s="9"/>
      <c r="D515" s="9"/>
      <c r="E515" s="9"/>
      <c r="F515" s="9"/>
      <c r="G515" s="9"/>
      <c r="H515" s="108">
        <f>'2019 Certified Estimate'!H528</f>
        <v>-34090</v>
      </c>
      <c r="I515" s="120">
        <v>-87600</v>
      </c>
      <c r="J515" s="117">
        <f t="shared" si="50"/>
        <v>1.5696685244939865</v>
      </c>
      <c r="K515" s="9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  <c r="AW515" s="144"/>
    </row>
    <row r="516" spans="1:49" s="136" customFormat="1" ht="9.75">
      <c r="A516" s="113" t="s">
        <v>128</v>
      </c>
      <c r="B516" s="9"/>
      <c r="C516" s="9"/>
      <c r="D516" s="9"/>
      <c r="E516" s="9"/>
      <c r="F516" s="9"/>
      <c r="G516" s="9"/>
      <c r="H516" s="108">
        <f>'2019 Certified Estimate'!H529</f>
        <v>0</v>
      </c>
      <c r="I516" s="120">
        <v>0</v>
      </c>
      <c r="J516" s="117">
        <v>0</v>
      </c>
      <c r="K516" s="9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</row>
    <row r="517" spans="1:49" s="136" customFormat="1" ht="9.75">
      <c r="A517" s="113" t="s">
        <v>157</v>
      </c>
      <c r="B517" s="9"/>
      <c r="C517" s="9"/>
      <c r="D517" s="9"/>
      <c r="E517" s="9"/>
      <c r="F517" s="9"/>
      <c r="G517" s="9"/>
      <c r="H517" s="108">
        <f>'2019 Certified Estimate'!H530</f>
        <v>-9879360</v>
      </c>
      <c r="I517" s="118">
        <v>-5461448</v>
      </c>
      <c r="J517" s="117">
        <f>(I517-H517)/H517</f>
        <v>-0.44718605253781624</v>
      </c>
      <c r="K517" s="9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  <c r="AW517" s="144"/>
    </row>
    <row r="518" spans="1:49" s="136" customFormat="1" ht="9.75">
      <c r="A518" s="113" t="s">
        <v>53</v>
      </c>
      <c r="B518" s="9"/>
      <c r="C518" s="9"/>
      <c r="D518" s="9"/>
      <c r="E518" s="9"/>
      <c r="F518" s="9"/>
      <c r="G518" s="9"/>
      <c r="H518" s="108">
        <f>'2019 Certified Estimate'!H531</f>
        <v>0</v>
      </c>
      <c r="I518" s="118">
        <v>0</v>
      </c>
      <c r="J518" s="117">
        <v>0</v>
      </c>
      <c r="K518" s="9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</row>
    <row r="519" spans="1:49" s="136" customFormat="1" ht="9.75">
      <c r="A519" s="113" t="s">
        <v>54</v>
      </c>
      <c r="B519" s="9"/>
      <c r="C519" s="9"/>
      <c r="D519" s="9"/>
      <c r="E519" s="9"/>
      <c r="F519" s="9"/>
      <c r="G519" s="9"/>
      <c r="H519" s="108">
        <f>'2019 Certified Estimate'!H532</f>
        <v>0</v>
      </c>
      <c r="I519" s="118">
        <v>0</v>
      </c>
      <c r="J519" s="117">
        <v>0</v>
      </c>
      <c r="K519" s="9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</row>
    <row r="520" spans="1:49" s="136" customFormat="1" ht="9.75">
      <c r="A520" s="113" t="s">
        <v>55</v>
      </c>
      <c r="B520" s="9"/>
      <c r="C520" s="9"/>
      <c r="D520" s="9"/>
      <c r="E520" s="9"/>
      <c r="F520" s="9"/>
      <c r="G520" s="9"/>
      <c r="H520" s="108">
        <f>'2019 Certified Estimate'!H533</f>
        <v>0</v>
      </c>
      <c r="I520" s="118">
        <v>0</v>
      </c>
      <c r="J520" s="117">
        <v>0</v>
      </c>
      <c r="K520" s="9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</row>
    <row r="521" spans="1:49" s="136" customFormat="1" ht="9.75">
      <c r="A521" s="113" t="s">
        <v>56</v>
      </c>
      <c r="B521" s="9"/>
      <c r="C521" s="9"/>
      <c r="D521" s="9"/>
      <c r="E521" s="9"/>
      <c r="F521" s="9"/>
      <c r="G521" s="9"/>
      <c r="H521" s="108">
        <f>'2019 Certified Estimate'!H534</f>
        <v>-3360906</v>
      </c>
      <c r="I521" s="118">
        <v>-2613528</v>
      </c>
      <c r="J521" s="117">
        <f>(I521-H521)/H521</f>
        <v>-0.2223739670196072</v>
      </c>
      <c r="K521" s="9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</row>
    <row r="522" spans="1:49" s="136" customFormat="1" ht="9.75">
      <c r="A522" s="113" t="s">
        <v>57</v>
      </c>
      <c r="B522" s="9"/>
      <c r="C522" s="9"/>
      <c r="D522" s="9"/>
      <c r="E522" s="9"/>
      <c r="F522" s="9"/>
      <c r="G522" s="9"/>
      <c r="H522" s="108">
        <f>'2019 Certified Estimate'!H535</f>
        <v>-97392945</v>
      </c>
      <c r="I522" s="120">
        <v>-81632164</v>
      </c>
      <c r="J522" s="117">
        <f>(I522-H522)/H522</f>
        <v>-0.16182672163779419</v>
      </c>
      <c r="K522" s="9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</row>
    <row r="523" spans="1:49" s="136" customFormat="1" ht="9.75">
      <c r="A523" s="113" t="s">
        <v>58</v>
      </c>
      <c r="B523" s="9"/>
      <c r="C523" s="9"/>
      <c r="D523" s="9"/>
      <c r="E523" s="9"/>
      <c r="F523" s="9"/>
      <c r="G523" s="9"/>
      <c r="H523" s="108">
        <f>'2019 Certified Estimate'!H536</f>
        <v>-5359674</v>
      </c>
      <c r="I523" s="120">
        <v>-4515080</v>
      </c>
      <c r="J523" s="117">
        <f>(I523-H523)/H523</f>
        <v>-0.15758309180744948</v>
      </c>
      <c r="K523" s="9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</row>
    <row r="524" spans="1:49" s="136" customFormat="1" ht="10.5" thickBot="1">
      <c r="A524" s="113" t="s">
        <v>59</v>
      </c>
      <c r="B524" s="9"/>
      <c r="C524" s="9"/>
      <c r="D524" s="9"/>
      <c r="E524" s="9"/>
      <c r="F524" s="9"/>
      <c r="G524" s="9"/>
      <c r="H524" s="108">
        <f>'2019 Certified Estimate'!H537</f>
        <v>0</v>
      </c>
      <c r="I524" s="120">
        <v>0</v>
      </c>
      <c r="J524" s="117">
        <v>0</v>
      </c>
      <c r="K524" s="9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</row>
    <row r="525" spans="1:49" s="136" customFormat="1" ht="10.5" thickBot="1">
      <c r="A525" s="250" t="s">
        <v>60</v>
      </c>
      <c r="B525" s="253"/>
      <c r="C525" s="253"/>
      <c r="D525" s="253"/>
      <c r="E525" s="253"/>
      <c r="F525" s="253"/>
      <c r="G525" s="253"/>
      <c r="H525" s="254">
        <f>SUM(H513:H524)</f>
        <v>802059516</v>
      </c>
      <c r="I525" s="255">
        <f>SUM(I513:I524)</f>
        <v>835252360</v>
      </c>
      <c r="J525" s="256">
        <f>(I525-H525)/H525</f>
        <v>0.041384514911733804</v>
      </c>
      <c r="K525" s="9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</row>
    <row r="526" spans="1:49" s="136" customFormat="1" ht="10.5">
      <c r="A526" s="121" t="str">
        <f>A564</f>
        <v>2014 Adpoted/2014 Revenue Neutral Tax Rate</v>
      </c>
      <c r="B526" s="9"/>
      <c r="C526" s="9"/>
      <c r="D526" s="9"/>
      <c r="E526" s="249">
        <v>0.09651</v>
      </c>
      <c r="F526" s="141">
        <v>0.09255</v>
      </c>
      <c r="G526" s="123"/>
      <c r="H526" s="124"/>
      <c r="I526" s="125"/>
      <c r="J526" s="9"/>
      <c r="K526" s="146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</row>
    <row r="527" spans="1:49" s="136" customFormat="1" ht="10.5">
      <c r="A527" s="146"/>
      <c r="B527" s="104"/>
      <c r="C527" s="104"/>
      <c r="D527" s="104"/>
      <c r="E527" s="104"/>
      <c r="F527" s="104"/>
      <c r="G527" s="104"/>
      <c r="H527" s="124"/>
      <c r="I527" s="125"/>
      <c r="J527" s="146"/>
      <c r="K527" s="208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</row>
    <row r="528" spans="1:49" s="136" customFormat="1" ht="10.5">
      <c r="A528" s="146"/>
      <c r="B528" s="9"/>
      <c r="C528" s="9"/>
      <c r="D528" s="9"/>
      <c r="E528" s="9"/>
      <c r="F528" s="9"/>
      <c r="G528" s="123"/>
      <c r="H528" s="146"/>
      <c r="I528" s="148"/>
      <c r="J528" s="146"/>
      <c r="K528" s="9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  <c r="AW528" s="144"/>
    </row>
    <row r="529" spans="1:49" s="136" customFormat="1" ht="9.75">
      <c r="A529" s="121" t="s">
        <v>62</v>
      </c>
      <c r="B529" s="9"/>
      <c r="C529" s="9"/>
      <c r="D529" s="9"/>
      <c r="E529" s="9"/>
      <c r="F529" s="9"/>
      <c r="G529" s="9"/>
      <c r="H529" s="125">
        <f>(H525*E526)/100</f>
        <v>774067.6388916</v>
      </c>
      <c r="I529" s="125">
        <f>(I525*F526)/100</f>
        <v>773026.05918</v>
      </c>
      <c r="J529" s="117">
        <f>(I529-H529)/H529</f>
        <v>-0.0013455926320488335</v>
      </c>
      <c r="K529" s="9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  <c r="AW529" s="144"/>
    </row>
    <row r="530" spans="1:49" s="136" customFormat="1" ht="9.75">
      <c r="A530" s="121" t="s">
        <v>18</v>
      </c>
      <c r="B530" s="9"/>
      <c r="C530" s="9"/>
      <c r="D530" s="9"/>
      <c r="E530" s="9"/>
      <c r="F530" s="9"/>
      <c r="G530" s="9"/>
      <c r="H530" s="108">
        <f>'2019 Certified Estimate'!H543</f>
        <v>12170766</v>
      </c>
      <c r="I530" s="118">
        <v>22647482</v>
      </c>
      <c r="J530" s="117">
        <f>(I530-H530)/H530</f>
        <v>0.8608099112249796</v>
      </c>
      <c r="K530" s="9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  <c r="AW530" s="144"/>
    </row>
    <row r="531" spans="1:49" s="136" customFormat="1" ht="9.75">
      <c r="A531" s="121" t="s">
        <v>17</v>
      </c>
      <c r="B531" s="9"/>
      <c r="C531" s="9"/>
      <c r="D531" s="9"/>
      <c r="E531" s="9"/>
      <c r="F531" s="9"/>
      <c r="G531" s="9"/>
      <c r="H531" s="108">
        <f>'2019 Certified Estimate'!H544</f>
        <v>15850</v>
      </c>
      <c r="I531" s="118">
        <v>14782</v>
      </c>
      <c r="J531" s="117">
        <f>(I531-H531)/H531</f>
        <v>-0.06738170347003154</v>
      </c>
      <c r="K531" s="9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  <c r="AW531" s="144"/>
    </row>
    <row r="532" spans="1:49" s="136" customFormat="1" ht="10.5" thickBot="1">
      <c r="A532" s="132"/>
      <c r="H532" s="140"/>
      <c r="I532" s="140"/>
      <c r="J532" s="206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</row>
    <row r="533" spans="1:49" s="136" customFormat="1" ht="10.5" thickBot="1">
      <c r="A533" s="267" t="s">
        <v>87</v>
      </c>
      <c r="B533" s="95" t="s">
        <v>32</v>
      </c>
      <c r="C533" s="96"/>
      <c r="D533" s="97"/>
      <c r="E533" s="95" t="s">
        <v>33</v>
      </c>
      <c r="F533" s="96"/>
      <c r="G533" s="97"/>
      <c r="H533" s="95" t="s">
        <v>34</v>
      </c>
      <c r="I533" s="96"/>
      <c r="J533" s="231"/>
      <c r="K533" s="99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  <c r="AQ533" s="144"/>
      <c r="AR533" s="144"/>
      <c r="AS533" s="144"/>
      <c r="AT533" s="144"/>
      <c r="AU533" s="144"/>
      <c r="AV533" s="144"/>
      <c r="AW533" s="144"/>
    </row>
    <row r="534" spans="1:49" s="136" customFormat="1" ht="9.75">
      <c r="A534" s="9" t="s">
        <v>35</v>
      </c>
      <c r="B534" s="101" t="s">
        <v>193</v>
      </c>
      <c r="C534" s="102" t="s">
        <v>188</v>
      </c>
      <c r="D534" s="100" t="s">
        <v>67</v>
      </c>
      <c r="E534" s="101" t="str">
        <f>B534</f>
        <v>2013 Certified</v>
      </c>
      <c r="F534" s="102" t="s">
        <v>188</v>
      </c>
      <c r="G534" s="100" t="s">
        <v>67</v>
      </c>
      <c r="H534" s="101" t="s">
        <v>187</v>
      </c>
      <c r="I534" s="102" t="s">
        <v>189</v>
      </c>
      <c r="J534" s="100" t="s">
        <v>67</v>
      </c>
      <c r="K534" s="207" t="s">
        <v>71</v>
      </c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  <c r="AQ534" s="144"/>
      <c r="AR534" s="144"/>
      <c r="AS534" s="144"/>
      <c r="AT534" s="144"/>
      <c r="AU534" s="144"/>
      <c r="AV534" s="144"/>
      <c r="AW534" s="144"/>
    </row>
    <row r="535" spans="1:49" s="136" customFormat="1" ht="9.75">
      <c r="A535" s="227" t="s">
        <v>85</v>
      </c>
      <c r="B535" s="103"/>
      <c r="C535" s="104"/>
      <c r="D535" s="105"/>
      <c r="E535" s="103"/>
      <c r="F535" s="104"/>
      <c r="G535" s="105"/>
      <c r="H535" s="103"/>
      <c r="I535" s="104"/>
      <c r="J535" s="105"/>
      <c r="K535" s="105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  <c r="AQ535" s="144"/>
      <c r="AR535" s="144"/>
      <c r="AS535" s="144"/>
      <c r="AT535" s="144"/>
      <c r="AU535" s="144"/>
      <c r="AV535" s="144"/>
      <c r="AW535" s="144"/>
    </row>
    <row r="536" spans="1:49" s="136" customFormat="1" ht="9.75">
      <c r="A536" s="9" t="s">
        <v>36</v>
      </c>
      <c r="B536" s="107">
        <v>0</v>
      </c>
      <c r="C536" s="109">
        <v>0</v>
      </c>
      <c r="D536" s="105"/>
      <c r="E536" s="108" t="e">
        <f>'2019 Certified Estimate'!#REF!</f>
        <v>#REF!</v>
      </c>
      <c r="F536" s="109">
        <v>13277500</v>
      </c>
      <c r="G536" s="110" t="e">
        <f>(F536-E536)/E536</f>
        <v>#REF!</v>
      </c>
      <c r="H536" s="107" t="e">
        <f aca="true" t="shared" si="51" ref="H536:I546">B536+E536</f>
        <v>#REF!</v>
      </c>
      <c r="I536" s="108">
        <f t="shared" si="51"/>
        <v>13277500</v>
      </c>
      <c r="J536" s="110" t="e">
        <f>(I536-H536)/H536</f>
        <v>#REF!</v>
      </c>
      <c r="K536" s="153">
        <f>I536/I547</f>
        <v>0.059368355573234284</v>
      </c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</row>
    <row r="537" spans="1:49" s="136" customFormat="1" ht="9.75">
      <c r="A537" s="9" t="s">
        <v>37</v>
      </c>
      <c r="B537" s="107">
        <v>0</v>
      </c>
      <c r="C537" s="109">
        <v>0</v>
      </c>
      <c r="D537" s="105"/>
      <c r="E537" s="108" t="e">
        <f>'2019 Certified Estimate'!#REF!</f>
        <v>#REF!</v>
      </c>
      <c r="F537" s="109">
        <v>0</v>
      </c>
      <c r="G537" s="110">
        <v>0</v>
      </c>
      <c r="H537" s="107" t="e">
        <f t="shared" si="51"/>
        <v>#REF!</v>
      </c>
      <c r="I537" s="108">
        <f t="shared" si="51"/>
        <v>0</v>
      </c>
      <c r="J537" s="110">
        <v>0</v>
      </c>
      <c r="K537" s="153">
        <f>I537/I547</f>
        <v>0</v>
      </c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  <c r="AQ537" s="144"/>
      <c r="AR537" s="144"/>
      <c r="AS537" s="144"/>
      <c r="AT537" s="144"/>
      <c r="AU537" s="144"/>
      <c r="AV537" s="144"/>
      <c r="AW537" s="144"/>
    </row>
    <row r="538" spans="1:49" s="136" customFormat="1" ht="9.75">
      <c r="A538" s="9" t="s">
        <v>38</v>
      </c>
      <c r="B538" s="107">
        <v>0</v>
      </c>
      <c r="C538" s="109">
        <v>0</v>
      </c>
      <c r="D538" s="105"/>
      <c r="E538" s="108" t="e">
        <f>'2019 Certified Estimate'!#REF!</f>
        <v>#REF!</v>
      </c>
      <c r="F538" s="109">
        <v>2594720</v>
      </c>
      <c r="G538" s="110" t="e">
        <f>(F538-E538)/E538</f>
        <v>#REF!</v>
      </c>
      <c r="H538" s="107" t="e">
        <f t="shared" si="51"/>
        <v>#REF!</v>
      </c>
      <c r="I538" s="108">
        <f t="shared" si="51"/>
        <v>2594720</v>
      </c>
      <c r="J538" s="110" t="e">
        <f aca="true" t="shared" si="52" ref="J538:J544">(I538-H538)/H538</f>
        <v>#REF!</v>
      </c>
      <c r="K538" s="153">
        <f>I538/I547</f>
        <v>0.011601902434417808</v>
      </c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</row>
    <row r="539" spans="1:49" s="136" customFormat="1" ht="9.75">
      <c r="A539" s="9" t="s">
        <v>39</v>
      </c>
      <c r="B539" s="107">
        <v>0</v>
      </c>
      <c r="C539" s="109">
        <v>0</v>
      </c>
      <c r="D539" s="105"/>
      <c r="E539" s="108" t="e">
        <f>'2019 Certified Estimate'!#REF!</f>
        <v>#REF!</v>
      </c>
      <c r="F539" s="109">
        <v>129564400</v>
      </c>
      <c r="G539" s="110" t="e">
        <f>(F539-E539)/E539</f>
        <v>#REF!</v>
      </c>
      <c r="H539" s="107" t="e">
        <f t="shared" si="51"/>
        <v>#REF!</v>
      </c>
      <c r="I539" s="108">
        <f t="shared" si="51"/>
        <v>129564400</v>
      </c>
      <c r="J539" s="110" t="e">
        <f t="shared" si="52"/>
        <v>#REF!</v>
      </c>
      <c r="K539" s="153">
        <f>I539/I547</f>
        <v>0.5793278379840148</v>
      </c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  <c r="AQ539" s="144"/>
      <c r="AR539" s="144"/>
      <c r="AS539" s="144"/>
      <c r="AT539" s="144"/>
      <c r="AU539" s="144"/>
      <c r="AV539" s="144"/>
      <c r="AW539" s="144"/>
    </row>
    <row r="540" spans="1:49" s="136" customFormat="1" ht="9.75">
      <c r="A540" s="9" t="s">
        <v>40</v>
      </c>
      <c r="B540" s="107">
        <v>0</v>
      </c>
      <c r="C540" s="109">
        <v>0</v>
      </c>
      <c r="D540" s="105"/>
      <c r="E540" s="108" t="e">
        <f>'2019 Certified Estimate'!#REF!</f>
        <v>#REF!</v>
      </c>
      <c r="F540" s="109">
        <v>2112200</v>
      </c>
      <c r="G540" s="110" t="e">
        <f>(F540-E540)/E540</f>
        <v>#REF!</v>
      </c>
      <c r="H540" s="107" t="e">
        <f t="shared" si="51"/>
        <v>#REF!</v>
      </c>
      <c r="I540" s="108">
        <f t="shared" si="51"/>
        <v>2112200</v>
      </c>
      <c r="J540" s="110" t="e">
        <f t="shared" si="52"/>
        <v>#REF!</v>
      </c>
      <c r="K540" s="153">
        <f>I540/I547</f>
        <v>0.009444386416251964</v>
      </c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  <c r="AQ540" s="144"/>
      <c r="AR540" s="144"/>
      <c r="AS540" s="144"/>
      <c r="AT540" s="144"/>
      <c r="AU540" s="144"/>
      <c r="AV540" s="144"/>
      <c r="AW540" s="144"/>
    </row>
    <row r="541" spans="1:49" s="136" customFormat="1" ht="9.75">
      <c r="A541" s="9" t="s">
        <v>41</v>
      </c>
      <c r="B541" s="107">
        <f>'2019 Certified Estimate'!B555</f>
        <v>38712590</v>
      </c>
      <c r="C541" s="109">
        <v>58888290</v>
      </c>
      <c r="D541" s="110">
        <f>(C541-B541)/B541</f>
        <v>0.5211663699070509</v>
      </c>
      <c r="E541" s="108" t="e">
        <f>'2019 Certified Estimate'!#REF!</f>
        <v>#REF!</v>
      </c>
      <c r="F541" s="109">
        <v>0</v>
      </c>
      <c r="G541" s="110">
        <v>0</v>
      </c>
      <c r="H541" s="107" t="e">
        <f t="shared" si="51"/>
        <v>#REF!</v>
      </c>
      <c r="I541" s="108">
        <f t="shared" si="51"/>
        <v>58888290</v>
      </c>
      <c r="J541" s="110" t="e">
        <f t="shared" si="52"/>
        <v>#REF!</v>
      </c>
      <c r="K541" s="153">
        <f>I541/I547</f>
        <v>0.26331018187307376</v>
      </c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  <c r="AQ541" s="144"/>
      <c r="AR541" s="144"/>
      <c r="AS541" s="144"/>
      <c r="AT541" s="144"/>
      <c r="AU541" s="144"/>
      <c r="AV541" s="144"/>
      <c r="AW541" s="144"/>
    </row>
    <row r="542" spans="1:49" s="136" customFormat="1" ht="9.75">
      <c r="A542" s="9" t="s">
        <v>42</v>
      </c>
      <c r="B542" s="107">
        <f>'2019 Certified Estimate'!B556</f>
        <v>39611050</v>
      </c>
      <c r="C542" s="109">
        <v>7895900</v>
      </c>
      <c r="D542" s="110">
        <f>(C542-B542)/B542</f>
        <v>-0.8006642085983583</v>
      </c>
      <c r="E542" s="108" t="e">
        <f>'2019 Certified Estimate'!#REF!</f>
        <v>#REF!</v>
      </c>
      <c r="F542" s="109">
        <v>79470</v>
      </c>
      <c r="G542" s="110" t="e">
        <f aca="true" t="shared" si="53" ref="G542:G547">(F542-E542)/E542</f>
        <v>#REF!</v>
      </c>
      <c r="H542" s="107" t="e">
        <f t="shared" si="51"/>
        <v>#REF!</v>
      </c>
      <c r="I542" s="108">
        <f t="shared" si="51"/>
        <v>7975370</v>
      </c>
      <c r="J542" s="110" t="e">
        <f t="shared" si="52"/>
        <v>#REF!</v>
      </c>
      <c r="K542" s="153">
        <f>I542/I547</f>
        <v>0.03566067422241427</v>
      </c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</row>
    <row r="543" spans="1:49" s="136" customFormat="1" ht="9.75">
      <c r="A543" s="9" t="s">
        <v>43</v>
      </c>
      <c r="B543" s="107">
        <f>'2019 Certified Estimate'!B557</f>
        <v>736460</v>
      </c>
      <c r="C543" s="109">
        <v>793510</v>
      </c>
      <c r="D543" s="110">
        <f>(C543-B543)/B543</f>
        <v>0.07746517122450643</v>
      </c>
      <c r="E543" s="108" t="e">
        <f>'2019 Certified Estimate'!#REF!</f>
        <v>#REF!</v>
      </c>
      <c r="F543" s="109">
        <v>1708400</v>
      </c>
      <c r="G543" s="110" t="e">
        <f t="shared" si="53"/>
        <v>#REF!</v>
      </c>
      <c r="H543" s="107" t="e">
        <f t="shared" si="51"/>
        <v>#REF!</v>
      </c>
      <c r="I543" s="108">
        <f t="shared" si="51"/>
        <v>2501910</v>
      </c>
      <c r="J543" s="110" t="e">
        <f t="shared" si="52"/>
        <v>#REF!</v>
      </c>
      <c r="K543" s="153">
        <f>I543/I547</f>
        <v>0.011186916399339528</v>
      </c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  <c r="AQ543" s="144"/>
      <c r="AR543" s="144"/>
      <c r="AS543" s="144"/>
      <c r="AT543" s="144"/>
      <c r="AU543" s="144"/>
      <c r="AV543" s="144"/>
      <c r="AW543" s="144"/>
    </row>
    <row r="544" spans="1:49" s="136" customFormat="1" ht="9.75">
      <c r="A544" s="9" t="s">
        <v>44</v>
      </c>
      <c r="B544" s="107">
        <v>0</v>
      </c>
      <c r="C544" s="109">
        <v>0</v>
      </c>
      <c r="D544" s="110"/>
      <c r="E544" s="108" t="e">
        <f>'2019 Certified Estimate'!#REF!</f>
        <v>#REF!</v>
      </c>
      <c r="F544" s="109">
        <v>3661160</v>
      </c>
      <c r="G544" s="110" t="e">
        <f t="shared" si="53"/>
        <v>#REF!</v>
      </c>
      <c r="H544" s="107" t="e">
        <f t="shared" si="51"/>
        <v>#REF!</v>
      </c>
      <c r="I544" s="108">
        <f t="shared" si="51"/>
        <v>3661160</v>
      </c>
      <c r="J544" s="110" t="e">
        <f t="shared" si="52"/>
        <v>#REF!</v>
      </c>
      <c r="K544" s="153">
        <f>I544/I547</f>
        <v>0.016370329406176044</v>
      </c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</row>
    <row r="545" spans="1:49" s="136" customFormat="1" ht="9.75">
      <c r="A545" s="9" t="s">
        <v>45</v>
      </c>
      <c r="B545" s="107">
        <v>0</v>
      </c>
      <c r="C545" s="109">
        <v>0</v>
      </c>
      <c r="D545" s="110"/>
      <c r="E545" s="108" t="e">
        <f>'2019 Certified Estimate'!#REF!</f>
        <v>#REF!</v>
      </c>
      <c r="F545" s="109">
        <v>294310</v>
      </c>
      <c r="G545" s="110" t="e">
        <f t="shared" si="53"/>
        <v>#REF!</v>
      </c>
      <c r="H545" s="107" t="e">
        <f t="shared" si="51"/>
        <v>#REF!</v>
      </c>
      <c r="I545" s="108">
        <f t="shared" si="51"/>
        <v>294310</v>
      </c>
      <c r="J545" s="110">
        <v>0</v>
      </c>
      <c r="K545" s="153">
        <f>I545/I547</f>
        <v>0.0013159631503489799</v>
      </c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</row>
    <row r="546" spans="1:49" s="136" customFormat="1" ht="10.5" thickBot="1">
      <c r="A546" s="9" t="s">
        <v>46</v>
      </c>
      <c r="B546" s="107">
        <v>0</v>
      </c>
      <c r="C546" s="109">
        <v>0</v>
      </c>
      <c r="D546" s="110"/>
      <c r="E546" s="108" t="e">
        <f>'2019 Certified Estimate'!#REF!</f>
        <v>#REF!</v>
      </c>
      <c r="F546" s="109">
        <v>2776220</v>
      </c>
      <c r="G546" s="110" t="e">
        <f t="shared" si="53"/>
        <v>#REF!</v>
      </c>
      <c r="H546" s="107" t="e">
        <f t="shared" si="51"/>
        <v>#REF!</v>
      </c>
      <c r="I546" s="108">
        <f t="shared" si="51"/>
        <v>2776220</v>
      </c>
      <c r="J546" s="110" t="e">
        <f aca="true" t="shared" si="54" ref="J546:J551">(I546-H546)/H546</f>
        <v>#REF!</v>
      </c>
      <c r="K546" s="153">
        <f>I546/I547</f>
        <v>0.012413452540728637</v>
      </c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/>
      <c r="AV546" s="144"/>
      <c r="AW546" s="144"/>
    </row>
    <row r="547" spans="1:49" s="136" customFormat="1" ht="10.5" thickBot="1">
      <c r="A547" s="250" t="s">
        <v>47</v>
      </c>
      <c r="B547" s="259">
        <f>SUM(B536:B546)</f>
        <v>79060100</v>
      </c>
      <c r="C547" s="260">
        <f>SUM(C536:C546)</f>
        <v>67577700</v>
      </c>
      <c r="D547" s="256">
        <f>(C547-B547)/B547</f>
        <v>-0.14523634551436185</v>
      </c>
      <c r="E547" s="259" t="e">
        <f>SUM(E536:E546)</f>
        <v>#REF!</v>
      </c>
      <c r="F547" s="260">
        <f>SUM(F536:F546)</f>
        <v>156068380</v>
      </c>
      <c r="G547" s="256" t="e">
        <f t="shared" si="53"/>
        <v>#REF!</v>
      </c>
      <c r="H547" s="263" t="e">
        <f>SUM(H536:H546)</f>
        <v>#REF!</v>
      </c>
      <c r="I547" s="255">
        <f>SUM(I536:I546)</f>
        <v>223646080</v>
      </c>
      <c r="J547" s="256" t="e">
        <f t="shared" si="54"/>
        <v>#REF!</v>
      </c>
      <c r="K547" s="256">
        <f>SUM(K536:K546)</f>
        <v>1</v>
      </c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</row>
    <row r="548" spans="1:49" s="136" customFormat="1" ht="9.75">
      <c r="A548" s="113" t="str">
        <f>A16</f>
        <v>Less Minimum Value Loss</v>
      </c>
      <c r="B548" s="9"/>
      <c r="C548" s="9"/>
      <c r="D548" s="9"/>
      <c r="E548" s="9"/>
      <c r="F548" s="9"/>
      <c r="G548" s="9"/>
      <c r="H548" s="108">
        <f>'2019 Certified Estimate'!H562</f>
        <v>0</v>
      </c>
      <c r="I548" s="118">
        <v>0</v>
      </c>
      <c r="J548" s="117">
        <v>0</v>
      </c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</row>
    <row r="549" spans="1:49" s="136" customFormat="1" ht="9.75">
      <c r="A549" s="113" t="s">
        <v>174</v>
      </c>
      <c r="B549" s="9"/>
      <c r="C549" s="9"/>
      <c r="D549" s="9"/>
      <c r="E549" s="9"/>
      <c r="F549" s="9"/>
      <c r="G549" s="9"/>
      <c r="H549" s="108">
        <f>'2019 Certified Estimate'!H563</f>
        <v>-418600</v>
      </c>
      <c r="I549" s="118">
        <v>-569680</v>
      </c>
      <c r="J549" s="117">
        <f t="shared" si="54"/>
        <v>0.36091734352603916</v>
      </c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</row>
    <row r="550" spans="1:49" s="136" customFormat="1" ht="10.5" thickBot="1">
      <c r="A550" s="113" t="s">
        <v>49</v>
      </c>
      <c r="B550" s="9"/>
      <c r="C550" s="9"/>
      <c r="D550" s="9"/>
      <c r="E550" s="9"/>
      <c r="F550" s="9"/>
      <c r="G550" s="9"/>
      <c r="H550" s="108">
        <f>'2019 Certified Estimate'!H564</f>
        <v>-51103990</v>
      </c>
      <c r="I550" s="118">
        <v>-45899270</v>
      </c>
      <c r="J550" s="117">
        <f t="shared" si="54"/>
        <v>-0.10184566801926816</v>
      </c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</row>
    <row r="551" spans="1:49" s="136" customFormat="1" ht="10.5" thickBot="1">
      <c r="A551" s="250" t="s">
        <v>50</v>
      </c>
      <c r="B551" s="253"/>
      <c r="C551" s="253"/>
      <c r="D551" s="253"/>
      <c r="E551" s="253"/>
      <c r="F551" s="253"/>
      <c r="G551" s="253"/>
      <c r="H551" s="254" t="e">
        <f>SUM(H547:H550)</f>
        <v>#REF!</v>
      </c>
      <c r="I551" s="255">
        <f>SUM(I547:I550)</f>
        <v>177177130</v>
      </c>
      <c r="J551" s="256" t="e">
        <f t="shared" si="54"/>
        <v>#REF!</v>
      </c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</row>
    <row r="552" spans="1:49" s="136" customFormat="1" ht="9.75">
      <c r="A552" s="113" t="s">
        <v>127</v>
      </c>
      <c r="B552" s="9"/>
      <c r="C552" s="9"/>
      <c r="D552" s="9"/>
      <c r="E552" s="9"/>
      <c r="F552" s="9"/>
      <c r="G552" s="9"/>
      <c r="H552" s="108">
        <f>'2019 Certified Estimate'!H566</f>
        <v>-286026</v>
      </c>
      <c r="I552" s="120">
        <v>-212410</v>
      </c>
      <c r="J552" s="117">
        <f>(I552-H552)/H552</f>
        <v>-0.2573752036528148</v>
      </c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</row>
    <row r="553" spans="1:49" s="136" customFormat="1" ht="9.75">
      <c r="A553" s="113" t="s">
        <v>78</v>
      </c>
      <c r="B553" s="9"/>
      <c r="C553" s="9"/>
      <c r="D553" s="9"/>
      <c r="E553" s="9"/>
      <c r="F553" s="9"/>
      <c r="G553" s="9"/>
      <c r="H553" s="108">
        <f>'2019 Certified Estimate'!H567</f>
        <v>0</v>
      </c>
      <c r="I553" s="120">
        <v>0</v>
      </c>
      <c r="J553" s="117">
        <v>0</v>
      </c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</row>
    <row r="554" spans="1:49" s="136" customFormat="1" ht="9.75">
      <c r="A554" s="113" t="s">
        <v>128</v>
      </c>
      <c r="B554" s="9"/>
      <c r="C554" s="9"/>
      <c r="D554" s="9"/>
      <c r="E554" s="9"/>
      <c r="F554" s="9"/>
      <c r="G554" s="9"/>
      <c r="H554" s="108">
        <f>'2019 Certified Estimate'!H568</f>
        <v>0</v>
      </c>
      <c r="I554" s="120">
        <v>0</v>
      </c>
      <c r="J554" s="117">
        <v>0</v>
      </c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</row>
    <row r="555" spans="1:49" s="136" customFormat="1" ht="9.75">
      <c r="A555" s="113" t="s">
        <v>157</v>
      </c>
      <c r="B555" s="9"/>
      <c r="C555" s="9"/>
      <c r="D555" s="9"/>
      <c r="E555" s="9"/>
      <c r="F555" s="9"/>
      <c r="G555" s="9"/>
      <c r="H555" s="108">
        <f>'2019 Certified Estimate'!H569</f>
        <v>-3120250</v>
      </c>
      <c r="I555" s="118">
        <v>-2831480</v>
      </c>
      <c r="J555" s="117">
        <f>(I555-H555)/H555</f>
        <v>-0.0925470715487541</v>
      </c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  <c r="AQ555" s="144"/>
      <c r="AR555" s="144"/>
      <c r="AS555" s="144"/>
      <c r="AT555" s="144"/>
      <c r="AU555" s="144"/>
      <c r="AV555" s="144"/>
      <c r="AW555" s="144"/>
    </row>
    <row r="556" spans="1:49" s="136" customFormat="1" ht="9.75">
      <c r="A556" s="113" t="s">
        <v>53</v>
      </c>
      <c r="B556" s="9"/>
      <c r="C556" s="9"/>
      <c r="D556" s="9"/>
      <c r="E556" s="9"/>
      <c r="F556" s="9"/>
      <c r="G556" s="9"/>
      <c r="H556" s="108">
        <f>'2019 Certified Estimate'!H570</f>
        <v>0</v>
      </c>
      <c r="I556" s="118">
        <v>0</v>
      </c>
      <c r="J556" s="117">
        <v>0</v>
      </c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</row>
    <row r="557" spans="1:49" s="136" customFormat="1" ht="9.75">
      <c r="A557" s="113" t="s">
        <v>54</v>
      </c>
      <c r="B557" s="9"/>
      <c r="C557" s="9"/>
      <c r="D557" s="9"/>
      <c r="E557" s="9"/>
      <c r="F557" s="9"/>
      <c r="G557" s="9"/>
      <c r="H557" s="108">
        <f>'2019 Certified Estimate'!H571</f>
        <v>0</v>
      </c>
      <c r="I557" s="118">
        <v>0</v>
      </c>
      <c r="J557" s="117">
        <v>0</v>
      </c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  <c r="AQ557" s="144"/>
      <c r="AR557" s="144"/>
      <c r="AS557" s="144"/>
      <c r="AT557" s="144"/>
      <c r="AU557" s="144"/>
      <c r="AV557" s="144"/>
      <c r="AW557" s="144"/>
    </row>
    <row r="558" spans="1:49" s="136" customFormat="1" ht="9.75">
      <c r="A558" s="113" t="s">
        <v>55</v>
      </c>
      <c r="B558" s="9"/>
      <c r="C558" s="9"/>
      <c r="D558" s="9"/>
      <c r="E558" s="9"/>
      <c r="F558" s="9"/>
      <c r="G558" s="9"/>
      <c r="H558" s="108">
        <f>'2019 Certified Estimate'!H572</f>
        <v>0</v>
      </c>
      <c r="I558" s="118">
        <v>0</v>
      </c>
      <c r="J558" s="117">
        <v>0</v>
      </c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  <c r="AQ558" s="144"/>
      <c r="AR558" s="144"/>
      <c r="AS558" s="144"/>
      <c r="AT558" s="144"/>
      <c r="AU558" s="144"/>
      <c r="AV558" s="144"/>
      <c r="AW558" s="144"/>
    </row>
    <row r="559" spans="1:49" s="136" customFormat="1" ht="9.75">
      <c r="A559" s="113" t="s">
        <v>56</v>
      </c>
      <c r="B559" s="9"/>
      <c r="C559" s="9"/>
      <c r="D559" s="9"/>
      <c r="E559" s="9"/>
      <c r="F559" s="9"/>
      <c r="G559" s="9"/>
      <c r="H559" s="108">
        <f>'2019 Certified Estimate'!H573</f>
        <v>-1249134</v>
      </c>
      <c r="I559" s="118">
        <v>-920174</v>
      </c>
      <c r="J559" s="117">
        <f>(I559-H559)/H559</f>
        <v>-0.26335044919119965</v>
      </c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  <c r="AQ559" s="144"/>
      <c r="AR559" s="144"/>
      <c r="AS559" s="144"/>
      <c r="AT559" s="144"/>
      <c r="AU559" s="144"/>
      <c r="AV559" s="144"/>
      <c r="AW559" s="144"/>
    </row>
    <row r="560" spans="1:49" s="136" customFormat="1" ht="9.75">
      <c r="A560" s="113" t="s">
        <v>57</v>
      </c>
      <c r="B560" s="9"/>
      <c r="C560" s="9"/>
      <c r="D560" s="9"/>
      <c r="E560" s="9"/>
      <c r="F560" s="9"/>
      <c r="G560" s="9"/>
      <c r="H560" s="108">
        <f>'2019 Certified Estimate'!H574</f>
        <v>-13204978</v>
      </c>
      <c r="I560" s="120">
        <v>-11680662</v>
      </c>
      <c r="J560" s="117">
        <f>(I560-H560)/H560</f>
        <v>-0.11543495187951089</v>
      </c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</row>
    <row r="561" spans="1:49" s="136" customFormat="1" ht="9.75">
      <c r="A561" s="113" t="s">
        <v>58</v>
      </c>
      <c r="B561" s="9"/>
      <c r="C561" s="9"/>
      <c r="D561" s="9"/>
      <c r="E561" s="9"/>
      <c r="F561" s="9"/>
      <c r="G561" s="9"/>
      <c r="H561" s="108">
        <f>'2019 Certified Estimate'!H575</f>
        <v>-1699079</v>
      </c>
      <c r="I561" s="120">
        <v>-1516903</v>
      </c>
      <c r="J561" s="117">
        <f>(I561-H561)/H561</f>
        <v>-0.10722044119196342</v>
      </c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  <c r="AQ561" s="144"/>
      <c r="AR561" s="144"/>
      <c r="AS561" s="144"/>
      <c r="AT561" s="144"/>
      <c r="AU561" s="144"/>
      <c r="AV561" s="144"/>
      <c r="AW561" s="144"/>
    </row>
    <row r="562" spans="1:49" s="136" customFormat="1" ht="10.5" thickBot="1">
      <c r="A562" s="113" t="s">
        <v>59</v>
      </c>
      <c r="B562" s="9"/>
      <c r="C562" s="9"/>
      <c r="D562" s="9"/>
      <c r="E562" s="9"/>
      <c r="F562" s="9"/>
      <c r="G562" s="9"/>
      <c r="H562" s="108">
        <f>'2019 Certified Estimate'!H576</f>
        <v>0</v>
      </c>
      <c r="I562" s="120">
        <v>0</v>
      </c>
      <c r="J562" s="117">
        <v>0</v>
      </c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  <c r="AQ562" s="144"/>
      <c r="AR562" s="144"/>
      <c r="AS562" s="144"/>
      <c r="AT562" s="144"/>
      <c r="AU562" s="144"/>
      <c r="AV562" s="144"/>
      <c r="AW562" s="144"/>
    </row>
    <row r="563" spans="1:49" s="136" customFormat="1" ht="10.5" thickBot="1">
      <c r="A563" s="250" t="s">
        <v>60</v>
      </c>
      <c r="B563" s="253"/>
      <c r="C563" s="253"/>
      <c r="D563" s="253"/>
      <c r="E563" s="253"/>
      <c r="F563" s="253"/>
      <c r="G563" s="253"/>
      <c r="H563" s="254" t="e">
        <f>SUM(H551:H562)</f>
        <v>#REF!</v>
      </c>
      <c r="I563" s="255">
        <f>SUM(I551:I562)</f>
        <v>160015501</v>
      </c>
      <c r="J563" s="256" t="e">
        <f>(I563-H563)/H563</f>
        <v>#REF!</v>
      </c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  <c r="AQ563" s="144"/>
      <c r="AR563" s="144"/>
      <c r="AS563" s="144"/>
      <c r="AT563" s="144"/>
      <c r="AU563" s="144"/>
      <c r="AV563" s="144"/>
      <c r="AW563" s="144"/>
    </row>
    <row r="564" spans="1:49" s="136" customFormat="1" ht="9.75">
      <c r="A564" s="121" t="str">
        <f>A640</f>
        <v>2014 Adpoted/2014 Revenue Neutral Tax Rate</v>
      </c>
      <c r="B564" s="9"/>
      <c r="C564" s="9"/>
      <c r="D564" s="9"/>
      <c r="E564" s="217">
        <v>0.1</v>
      </c>
      <c r="F564" s="141">
        <v>0.08685</v>
      </c>
      <c r="G564" s="123"/>
      <c r="H564" s="124"/>
      <c r="I564" s="125"/>
      <c r="J564" s="9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</row>
    <row r="565" spans="1:49" s="136" customFormat="1" ht="10.5">
      <c r="A565" s="146"/>
      <c r="B565" s="104"/>
      <c r="C565" s="104"/>
      <c r="D565" s="104"/>
      <c r="E565" s="104"/>
      <c r="F565" s="104"/>
      <c r="G565" s="104"/>
      <c r="H565" s="124"/>
      <c r="I565" s="125"/>
      <c r="J565" s="146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  <c r="AQ565" s="144"/>
      <c r="AR565" s="144"/>
      <c r="AS565" s="144"/>
      <c r="AT565" s="144"/>
      <c r="AU565" s="144"/>
      <c r="AV565" s="144"/>
      <c r="AW565" s="144"/>
    </row>
    <row r="566" spans="1:49" s="136" customFormat="1" ht="10.5">
      <c r="A566" s="146"/>
      <c r="B566" s="9"/>
      <c r="C566" s="9"/>
      <c r="D566" s="9"/>
      <c r="E566" s="9"/>
      <c r="F566" s="9"/>
      <c r="G566" s="123"/>
      <c r="H566" s="146"/>
      <c r="I566" s="148"/>
      <c r="J566" s="146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</row>
    <row r="567" spans="1:49" s="136" customFormat="1" ht="9.75">
      <c r="A567" s="121" t="s">
        <v>62</v>
      </c>
      <c r="B567" s="9"/>
      <c r="C567" s="9"/>
      <c r="D567" s="9"/>
      <c r="E567" s="9"/>
      <c r="F567" s="9"/>
      <c r="G567" s="9"/>
      <c r="H567" s="125" t="e">
        <f>(H563*E564)/100</f>
        <v>#REF!</v>
      </c>
      <c r="I567" s="125">
        <f>(I563*F564)/100</f>
        <v>138973.4626185</v>
      </c>
      <c r="J567" s="117" t="e">
        <f>(I567-H567)/H567</f>
        <v>#REF!</v>
      </c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  <c r="AQ567" s="144"/>
      <c r="AR567" s="144"/>
      <c r="AS567" s="144"/>
      <c r="AT567" s="144"/>
      <c r="AU567" s="144"/>
      <c r="AV567" s="144"/>
      <c r="AW567" s="144"/>
    </row>
    <row r="568" spans="1:49" s="136" customFormat="1" ht="9.75">
      <c r="A568" s="121" t="s">
        <v>18</v>
      </c>
      <c r="B568" s="9"/>
      <c r="C568" s="9"/>
      <c r="D568" s="9"/>
      <c r="E568" s="9"/>
      <c r="F568" s="9"/>
      <c r="G568" s="9"/>
      <c r="H568" s="108">
        <f>'2019 Certified Estimate'!H582</f>
        <v>1673800</v>
      </c>
      <c r="I568" s="118">
        <v>2723941</v>
      </c>
      <c r="J568" s="117">
        <f>(I568-H568)/H568</f>
        <v>0.6273993308639025</v>
      </c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  <c r="AQ568" s="144"/>
      <c r="AR568" s="144"/>
      <c r="AS568" s="144"/>
      <c r="AT568" s="144"/>
      <c r="AU568" s="144"/>
      <c r="AV568" s="144"/>
      <c r="AW568" s="144"/>
    </row>
    <row r="569" spans="1:49" s="136" customFormat="1" ht="9.75">
      <c r="A569" s="121" t="s">
        <v>17</v>
      </c>
      <c r="B569" s="9"/>
      <c r="C569" s="9"/>
      <c r="D569" s="9"/>
      <c r="E569" s="9"/>
      <c r="F569" s="9"/>
      <c r="G569" s="9"/>
      <c r="H569" s="108">
        <f>'2019 Certified Estimate'!H583</f>
        <v>14550</v>
      </c>
      <c r="I569" s="118">
        <v>11743</v>
      </c>
      <c r="J569" s="117">
        <f>(I569-H569)/H569</f>
        <v>-0.1929209621993127</v>
      </c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  <c r="AQ569" s="144"/>
      <c r="AR569" s="144"/>
      <c r="AS569" s="144"/>
      <c r="AT569" s="144"/>
      <c r="AU569" s="144"/>
      <c r="AV569" s="144"/>
      <c r="AW569" s="144"/>
    </row>
    <row r="570" spans="1:49" s="136" customFormat="1" ht="10.5" thickBot="1">
      <c r="A570" s="132"/>
      <c r="H570" s="140"/>
      <c r="I570" s="140"/>
      <c r="J570" s="206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  <c r="AQ570" s="144"/>
      <c r="AR570" s="144"/>
      <c r="AS570" s="144"/>
      <c r="AT570" s="144"/>
      <c r="AU570" s="144"/>
      <c r="AV570" s="144"/>
      <c r="AW570" s="144"/>
    </row>
    <row r="571" spans="1:11" ht="10.5" thickBot="1">
      <c r="A571" s="267" t="s">
        <v>82</v>
      </c>
      <c r="B571" s="95" t="s">
        <v>32</v>
      </c>
      <c r="C571" s="96"/>
      <c r="D571" s="97"/>
      <c r="E571" s="95" t="s">
        <v>33</v>
      </c>
      <c r="F571" s="96"/>
      <c r="G571" s="97"/>
      <c r="H571" s="95" t="s">
        <v>34</v>
      </c>
      <c r="I571" s="96"/>
      <c r="J571" s="97"/>
      <c r="K571" s="99"/>
    </row>
    <row r="572" spans="1:11" ht="9.75">
      <c r="A572" s="9" t="s">
        <v>35</v>
      </c>
      <c r="B572" s="101" t="s">
        <v>193</v>
      </c>
      <c r="C572" s="102" t="s">
        <v>188</v>
      </c>
      <c r="D572" s="100" t="s">
        <v>67</v>
      </c>
      <c r="E572" s="101" t="str">
        <f>B572</f>
        <v>2013 Certified</v>
      </c>
      <c r="F572" s="102" t="s">
        <v>188</v>
      </c>
      <c r="G572" s="100" t="s">
        <v>67</v>
      </c>
      <c r="H572" s="101" t="s">
        <v>187</v>
      </c>
      <c r="I572" s="102" t="s">
        <v>189</v>
      </c>
      <c r="J572" s="100" t="s">
        <v>67</v>
      </c>
      <c r="K572" s="207" t="s">
        <v>71</v>
      </c>
    </row>
    <row r="573" spans="1:11" ht="9.75">
      <c r="A573" s="228" t="s">
        <v>148</v>
      </c>
      <c r="B573" s="103"/>
      <c r="C573" s="104"/>
      <c r="D573" s="105"/>
      <c r="E573" s="103"/>
      <c r="F573" s="104"/>
      <c r="G573" s="105"/>
      <c r="H573" s="103"/>
      <c r="I573" s="104"/>
      <c r="J573" s="105"/>
      <c r="K573" s="106"/>
    </row>
    <row r="574" spans="1:11" ht="9.75">
      <c r="A574" s="9" t="s">
        <v>36</v>
      </c>
      <c r="B574" s="107">
        <v>0</v>
      </c>
      <c r="C574" s="108">
        <v>0</v>
      </c>
      <c r="D574" s="105"/>
      <c r="E574" s="108">
        <f>'2019 Certified Estimate'!E589</f>
        <v>77963030</v>
      </c>
      <c r="F574" s="108">
        <v>74208010</v>
      </c>
      <c r="G574" s="110">
        <f>(F574-E574)/E574</f>
        <v>-0.0481641106047315</v>
      </c>
      <c r="H574" s="107">
        <f aca="true" t="shared" si="55" ref="H574:I584">B574+E574</f>
        <v>77963030</v>
      </c>
      <c r="I574" s="108">
        <f t="shared" si="55"/>
        <v>74208010</v>
      </c>
      <c r="J574" s="110">
        <f aca="true" t="shared" si="56" ref="J574:J591">(I574-H574)/H574</f>
        <v>-0.0481641106047315</v>
      </c>
      <c r="K574" s="111">
        <f>I574/I585</f>
        <v>0.07884705115967827</v>
      </c>
    </row>
    <row r="575" spans="1:11" ht="9.75">
      <c r="A575" s="9" t="s">
        <v>37</v>
      </c>
      <c r="B575" s="107">
        <v>0</v>
      </c>
      <c r="C575" s="108">
        <v>0</v>
      </c>
      <c r="D575" s="105"/>
      <c r="E575" s="108">
        <f>'2019 Certified Estimate'!E590</f>
        <v>591600</v>
      </c>
      <c r="F575" s="108">
        <v>276190</v>
      </c>
      <c r="G575" s="110">
        <f>(F575-E575)/E575</f>
        <v>-0.5331473968897904</v>
      </c>
      <c r="H575" s="107">
        <f t="shared" si="55"/>
        <v>591600</v>
      </c>
      <c r="I575" s="108">
        <f t="shared" si="55"/>
        <v>276190</v>
      </c>
      <c r="J575" s="110">
        <f t="shared" si="56"/>
        <v>-0.5331473968897904</v>
      </c>
      <c r="K575" s="111">
        <f>I575/I585</f>
        <v>0.0002934557476988204</v>
      </c>
    </row>
    <row r="576" spans="1:11" ht="9.75">
      <c r="A576" s="9" t="s">
        <v>38</v>
      </c>
      <c r="B576" s="107">
        <v>0</v>
      </c>
      <c r="C576" s="108">
        <v>0</v>
      </c>
      <c r="D576" s="105"/>
      <c r="E576" s="108">
        <f>'2019 Certified Estimate'!E591</f>
        <v>2328000</v>
      </c>
      <c r="F576" s="108">
        <v>8826450</v>
      </c>
      <c r="G576" s="110">
        <f>(F576-E576)/E576</f>
        <v>2.791430412371134</v>
      </c>
      <c r="H576" s="107">
        <f t="shared" si="55"/>
        <v>2328000</v>
      </c>
      <c r="I576" s="108">
        <f t="shared" si="55"/>
        <v>8826450</v>
      </c>
      <c r="J576" s="110">
        <f t="shared" si="56"/>
        <v>2.791430412371134</v>
      </c>
      <c r="K576" s="111">
        <f>I576/I585</f>
        <v>0.009378226888287966</v>
      </c>
    </row>
    <row r="577" spans="1:11" ht="9.75">
      <c r="A577" s="9" t="s">
        <v>39</v>
      </c>
      <c r="B577" s="107">
        <v>0</v>
      </c>
      <c r="C577" s="108">
        <v>0</v>
      </c>
      <c r="D577" s="105"/>
      <c r="E577" s="108">
        <f>'2019 Certified Estimate'!E592</f>
        <v>381991070</v>
      </c>
      <c r="F577" s="108">
        <v>344476640</v>
      </c>
      <c r="G577" s="110">
        <f>(F577-E577)/E577</f>
        <v>-0.0982076099318238</v>
      </c>
      <c r="H577" s="107">
        <f t="shared" si="55"/>
        <v>381991070</v>
      </c>
      <c r="I577" s="108">
        <f t="shared" si="55"/>
        <v>344476640</v>
      </c>
      <c r="J577" s="110">
        <f t="shared" si="56"/>
        <v>-0.0982076099318238</v>
      </c>
      <c r="K577" s="111">
        <f>I577/I585</f>
        <v>0.36601126020484953</v>
      </c>
    </row>
    <row r="578" spans="1:11" ht="9.75">
      <c r="A578" s="9" t="s">
        <v>40</v>
      </c>
      <c r="B578" s="107">
        <v>0</v>
      </c>
      <c r="C578" s="108">
        <v>0</v>
      </c>
      <c r="D578" s="110"/>
      <c r="E578" s="108">
        <f>'2019 Certified Estimate'!E593</f>
        <v>35640880</v>
      </c>
      <c r="F578" s="108">
        <v>40993540</v>
      </c>
      <c r="G578" s="110">
        <f>(F578-E578)/E578</f>
        <v>0.15018316046068447</v>
      </c>
      <c r="H578" s="107">
        <f t="shared" si="55"/>
        <v>35640880</v>
      </c>
      <c r="I578" s="108">
        <f t="shared" si="55"/>
        <v>40993540</v>
      </c>
      <c r="J578" s="110">
        <f t="shared" si="56"/>
        <v>0.15018316046068447</v>
      </c>
      <c r="K578" s="111">
        <f>I578/I585</f>
        <v>0.043556211055872776</v>
      </c>
    </row>
    <row r="579" spans="1:11" ht="9.75">
      <c r="A579" s="9" t="s">
        <v>41</v>
      </c>
      <c r="B579" s="107">
        <f>'2019 Certified Estimate'!B594</f>
        <v>85625460</v>
      </c>
      <c r="C579" s="109">
        <v>230026770</v>
      </c>
      <c r="D579" s="110">
        <f>(C579-B579)/B579</f>
        <v>1.686429596991362</v>
      </c>
      <c r="E579" s="108">
        <f>'2019 Certified Estimate'!E594</f>
        <v>0</v>
      </c>
      <c r="F579" s="108">
        <v>0</v>
      </c>
      <c r="G579" s="110">
        <v>0</v>
      </c>
      <c r="H579" s="107">
        <f t="shared" si="55"/>
        <v>85625460</v>
      </c>
      <c r="I579" s="108">
        <f t="shared" si="55"/>
        <v>230026770</v>
      </c>
      <c r="J579" s="110">
        <f t="shared" si="56"/>
        <v>1.686429596991362</v>
      </c>
      <c r="K579" s="111">
        <f>I579/I585</f>
        <v>0.24440666852925375</v>
      </c>
    </row>
    <row r="580" spans="1:11" ht="9.75">
      <c r="A580" s="9" t="s">
        <v>42</v>
      </c>
      <c r="B580" s="107">
        <f>'2019 Certified Estimate'!B595</f>
        <v>62518190</v>
      </c>
      <c r="C580" s="109">
        <v>45460080</v>
      </c>
      <c r="D580" s="110">
        <f>(C580-B580)/B580</f>
        <v>-0.27285034963424243</v>
      </c>
      <c r="E580" s="108">
        <f>'2019 Certified Estimate'!E595</f>
        <v>109960</v>
      </c>
      <c r="F580" s="108">
        <v>117580</v>
      </c>
      <c r="G580" s="110">
        <f aca="true" t="shared" si="57" ref="G580:G585">(F580-E580)/E580</f>
        <v>0.06929792651873408</v>
      </c>
      <c r="H580" s="107">
        <f t="shared" si="55"/>
        <v>62628150</v>
      </c>
      <c r="I580" s="108">
        <f t="shared" si="55"/>
        <v>45577660</v>
      </c>
      <c r="J580" s="110">
        <f t="shared" si="56"/>
        <v>-0.27224961938042236</v>
      </c>
      <c r="K580" s="111">
        <f>I580/I585</f>
        <v>0.048426902833783335</v>
      </c>
    </row>
    <row r="581" spans="1:11" ht="9.75">
      <c r="A581" s="9" t="s">
        <v>43</v>
      </c>
      <c r="B581" s="107">
        <f>'2019 Certified Estimate'!B596</f>
        <v>160659890</v>
      </c>
      <c r="C581" s="109">
        <v>133706310</v>
      </c>
      <c r="D581" s="110">
        <f>(C581-B581)/B581</f>
        <v>-0.16776794755679217</v>
      </c>
      <c r="E581" s="108">
        <f>'2019 Certified Estimate'!E596</f>
        <v>51204470</v>
      </c>
      <c r="F581" s="108">
        <v>46187890</v>
      </c>
      <c r="G581" s="110">
        <f t="shared" si="57"/>
        <v>-0.09797152475164767</v>
      </c>
      <c r="H581" s="107">
        <f t="shared" si="55"/>
        <v>211864360</v>
      </c>
      <c r="I581" s="108">
        <f t="shared" si="55"/>
        <v>179894200</v>
      </c>
      <c r="J581" s="110">
        <f t="shared" si="56"/>
        <v>-0.1508991885185408</v>
      </c>
      <c r="K581" s="111">
        <f>I581/I585</f>
        <v>0.19114010995213854</v>
      </c>
    </row>
    <row r="582" spans="1:11" ht="9.75">
      <c r="A582" s="9" t="s">
        <v>44</v>
      </c>
      <c r="B582" s="107">
        <v>0</v>
      </c>
      <c r="C582" s="108">
        <v>0</v>
      </c>
      <c r="D582" s="110"/>
      <c r="E582" s="108">
        <f>'2019 Certified Estimate'!E597</f>
        <v>7152580</v>
      </c>
      <c r="F582" s="108">
        <v>7309480</v>
      </c>
      <c r="G582" s="110">
        <f t="shared" si="57"/>
        <v>0.021936140525516668</v>
      </c>
      <c r="H582" s="107">
        <f t="shared" si="55"/>
        <v>7152580</v>
      </c>
      <c r="I582" s="108">
        <f t="shared" si="55"/>
        <v>7309480</v>
      </c>
      <c r="J582" s="110">
        <f t="shared" si="56"/>
        <v>0.021936140525516668</v>
      </c>
      <c r="K582" s="111">
        <f>I582/I585</f>
        <v>0.007766424992539824</v>
      </c>
    </row>
    <row r="583" spans="1:11" ht="9.75">
      <c r="A583" s="9" t="s">
        <v>45</v>
      </c>
      <c r="B583" s="107">
        <v>0</v>
      </c>
      <c r="C583" s="108">
        <v>0</v>
      </c>
      <c r="D583" s="110"/>
      <c r="E583" s="108">
        <f>'2019 Certified Estimate'!E598</f>
        <v>105050</v>
      </c>
      <c r="F583" s="108">
        <v>132790</v>
      </c>
      <c r="G583" s="110">
        <f t="shared" si="57"/>
        <v>0.2640647310804379</v>
      </c>
      <c r="H583" s="107">
        <f t="shared" si="55"/>
        <v>105050</v>
      </c>
      <c r="I583" s="108">
        <f t="shared" si="55"/>
        <v>132790</v>
      </c>
      <c r="J583" s="110">
        <f t="shared" si="56"/>
        <v>0.2640647310804379</v>
      </c>
      <c r="K583" s="111">
        <f>I583/I585</f>
        <v>0.0001410912369634178</v>
      </c>
    </row>
    <row r="584" spans="1:11" ht="10.5" thickBot="1">
      <c r="A584" s="9" t="s">
        <v>46</v>
      </c>
      <c r="B584" s="107">
        <v>0</v>
      </c>
      <c r="C584" s="108">
        <v>0</v>
      </c>
      <c r="D584" s="110"/>
      <c r="E584" s="108">
        <f>'2019 Certified Estimate'!E599</f>
        <v>10883950</v>
      </c>
      <c r="F584" s="108">
        <v>9442320</v>
      </c>
      <c r="G584" s="110">
        <f t="shared" si="57"/>
        <v>-0.13245466949039642</v>
      </c>
      <c r="H584" s="107">
        <f t="shared" si="55"/>
        <v>10883950</v>
      </c>
      <c r="I584" s="108">
        <f t="shared" si="55"/>
        <v>9442320</v>
      </c>
      <c r="J584" s="110">
        <f t="shared" si="56"/>
        <v>-0.13245466949039642</v>
      </c>
      <c r="K584" s="111">
        <f>I584/I585</f>
        <v>0.010032597398933798</v>
      </c>
    </row>
    <row r="585" spans="1:11" ht="10.5" thickBot="1">
      <c r="A585" s="250" t="s">
        <v>47</v>
      </c>
      <c r="B585" s="259">
        <f>SUM(B574:B584)</f>
        <v>308803540</v>
      </c>
      <c r="C585" s="260">
        <f>SUM(C574:C584)</f>
        <v>409193160</v>
      </c>
      <c r="D585" s="256">
        <f>(C585-B585)/B585</f>
        <v>0.3250921929198091</v>
      </c>
      <c r="E585" s="259">
        <f>SUM(E574:E584)</f>
        <v>567970590</v>
      </c>
      <c r="F585" s="260">
        <f>SUM(F574:F584)</f>
        <v>531970890</v>
      </c>
      <c r="G585" s="256">
        <f t="shared" si="57"/>
        <v>-0.06338303537864522</v>
      </c>
      <c r="H585" s="263">
        <f>SUM(H574:H584)</f>
        <v>876774130</v>
      </c>
      <c r="I585" s="255">
        <f>SUM(I574:I584)</f>
        <v>941164050</v>
      </c>
      <c r="J585" s="256">
        <f t="shared" si="56"/>
        <v>0.07343957559514216</v>
      </c>
      <c r="K585" s="261">
        <f>SUM(K574:K584)</f>
        <v>1</v>
      </c>
    </row>
    <row r="586" spans="1:10" ht="9.75">
      <c r="A586" s="113" t="str">
        <f>A16</f>
        <v>Less Minimum Value Loss</v>
      </c>
      <c r="H586" s="108">
        <f>'2019 Certified Estimate'!H601</f>
        <v>0</v>
      </c>
      <c r="I586" s="118">
        <v>0</v>
      </c>
      <c r="J586" s="126">
        <v>0</v>
      </c>
    </row>
    <row r="587" spans="1:10" ht="9.75">
      <c r="A587" s="113" t="s">
        <v>174</v>
      </c>
      <c r="H587" s="108">
        <f>'2019 Certified Estimate'!H602</f>
        <v>-1123010</v>
      </c>
      <c r="I587" s="118">
        <v>-638240</v>
      </c>
      <c r="J587" s="126">
        <f t="shared" si="56"/>
        <v>-0.4316702433638169</v>
      </c>
    </row>
    <row r="588" spans="1:10" ht="10.5" thickBot="1">
      <c r="A588" s="113" t="s">
        <v>49</v>
      </c>
      <c r="H588" s="108">
        <f>'2019 Certified Estimate'!H603</f>
        <v>-136573510</v>
      </c>
      <c r="I588" s="118">
        <v>-126013250</v>
      </c>
      <c r="J588" s="126">
        <f t="shared" si="56"/>
        <v>-0.07732290105160218</v>
      </c>
    </row>
    <row r="589" spans="1:10" ht="10.5" thickBot="1">
      <c r="A589" s="250" t="s">
        <v>50</v>
      </c>
      <c r="B589" s="253"/>
      <c r="C589" s="253"/>
      <c r="D589" s="253"/>
      <c r="E589" s="253"/>
      <c r="F589" s="253"/>
      <c r="G589" s="253"/>
      <c r="H589" s="254">
        <f>SUM(H585:H588)</f>
        <v>739077610</v>
      </c>
      <c r="I589" s="255">
        <f>SUM(I585:I588)</f>
        <v>814512560</v>
      </c>
      <c r="J589" s="256">
        <f t="shared" si="56"/>
        <v>0.10206634456156777</v>
      </c>
    </row>
    <row r="590" spans="1:10" ht="9.75">
      <c r="A590" s="113" t="s">
        <v>127</v>
      </c>
      <c r="H590" s="108">
        <f>'2019 Certified Estimate'!H605</f>
        <v>-577860</v>
      </c>
      <c r="I590" s="120">
        <v>-576260</v>
      </c>
      <c r="J590" s="117">
        <f t="shared" si="56"/>
        <v>-0.0027688367424635726</v>
      </c>
    </row>
    <row r="591" spans="1:10" ht="9.75">
      <c r="A591" s="113" t="s">
        <v>78</v>
      </c>
      <c r="H591" s="108">
        <f>'2019 Certified Estimate'!H606</f>
        <v>-152690</v>
      </c>
      <c r="I591" s="120">
        <v>-746950</v>
      </c>
      <c r="J591" s="117">
        <f t="shared" si="56"/>
        <v>3.8919379134193464</v>
      </c>
    </row>
    <row r="592" spans="1:10" ht="9.75">
      <c r="A592" s="113" t="s">
        <v>128</v>
      </c>
      <c r="H592" s="108">
        <f>'2019 Certified Estimate'!H607</f>
        <v>0</v>
      </c>
      <c r="I592" s="120">
        <v>0</v>
      </c>
      <c r="J592" s="117">
        <v>0</v>
      </c>
    </row>
    <row r="593" spans="1:10" ht="9.75">
      <c r="A593" s="113" t="s">
        <v>157</v>
      </c>
      <c r="H593" s="108">
        <f>'2019 Certified Estimate'!H608</f>
        <v>-21817710</v>
      </c>
      <c r="I593" s="118">
        <v>-10728900</v>
      </c>
      <c r="J593" s="117">
        <f>(I593-H593)/H593</f>
        <v>-0.5082481158655056</v>
      </c>
    </row>
    <row r="594" spans="1:10" ht="9.75">
      <c r="A594" s="113" t="s">
        <v>53</v>
      </c>
      <c r="H594" s="108">
        <f>'2019 Certified Estimate'!H609</f>
        <v>0</v>
      </c>
      <c r="I594" s="118">
        <v>0</v>
      </c>
      <c r="J594" s="117">
        <v>0</v>
      </c>
    </row>
    <row r="595" spans="1:10" ht="9.75">
      <c r="A595" s="113" t="s">
        <v>54</v>
      </c>
      <c r="H595" s="108">
        <f>'2019 Certified Estimate'!H610</f>
        <v>0</v>
      </c>
      <c r="I595" s="118">
        <v>0</v>
      </c>
      <c r="J595" s="117">
        <v>0</v>
      </c>
    </row>
    <row r="596" spans="1:10" ht="9.75">
      <c r="A596" s="113" t="s">
        <v>55</v>
      </c>
      <c r="H596" s="108">
        <f>'2019 Certified Estimate'!H611</f>
        <v>0</v>
      </c>
      <c r="I596" s="118">
        <v>0</v>
      </c>
      <c r="J596" s="117">
        <v>0</v>
      </c>
    </row>
    <row r="597" spans="1:10" ht="9.75">
      <c r="A597" s="113" t="s">
        <v>56</v>
      </c>
      <c r="H597" s="108">
        <f>'2019 Certified Estimate'!H612</f>
        <v>-3545668</v>
      </c>
      <c r="I597" s="118">
        <v>-2781687</v>
      </c>
      <c r="J597" s="117">
        <f>(I597-H597)/H597</f>
        <v>-0.21546884818319142</v>
      </c>
    </row>
    <row r="598" spans="1:10" ht="9.75">
      <c r="A598" s="113" t="s">
        <v>57</v>
      </c>
      <c r="H598" s="108">
        <f>'2019 Certified Estimate'!H613</f>
        <v>-38617411</v>
      </c>
      <c r="I598" s="120">
        <v>-35798304</v>
      </c>
      <c r="J598" s="117">
        <f>(I598-H598)/H598</f>
        <v>-0.0730009321443118</v>
      </c>
    </row>
    <row r="599" spans="1:10" ht="9.75">
      <c r="A599" s="113" t="s">
        <v>58</v>
      </c>
      <c r="H599" s="108">
        <f>'2019 Certified Estimate'!H614</f>
        <v>-4330650</v>
      </c>
      <c r="I599" s="120">
        <v>-3864416</v>
      </c>
      <c r="J599" s="117">
        <f>(I599-H599)/H599</f>
        <v>-0.10765912738272546</v>
      </c>
    </row>
    <row r="600" spans="1:10" ht="10.5" thickBot="1">
      <c r="A600" s="113" t="s">
        <v>59</v>
      </c>
      <c r="H600" s="108">
        <f>'2019 Certified Estimate'!H615</f>
        <v>0</v>
      </c>
      <c r="I600" s="120">
        <v>0</v>
      </c>
      <c r="J600" s="126">
        <v>0</v>
      </c>
    </row>
    <row r="601" spans="1:10" ht="10.5" thickBot="1">
      <c r="A601" s="250" t="s">
        <v>60</v>
      </c>
      <c r="B601" s="253"/>
      <c r="C601" s="253"/>
      <c r="D601" s="253"/>
      <c r="E601" s="253"/>
      <c r="F601" s="253"/>
      <c r="G601" s="253"/>
      <c r="H601" s="254">
        <f>SUM(H589:H600)</f>
        <v>670035621</v>
      </c>
      <c r="I601" s="255">
        <f>SUM(I589:I600)</f>
        <v>760016043</v>
      </c>
      <c r="J601" s="256">
        <f>(I601-H601)/H601</f>
        <v>0.1342919975891849</v>
      </c>
    </row>
    <row r="602" spans="1:12" ht="10.5">
      <c r="A602" s="121" t="str">
        <f>A887</f>
        <v>2014 Adpoted/2014 Revenue Neutral Tax Rate</v>
      </c>
      <c r="E602" s="217">
        <v>0.1</v>
      </c>
      <c r="F602" s="141">
        <v>0.0993</v>
      </c>
      <c r="G602" s="123"/>
      <c r="H602" s="124"/>
      <c r="I602" s="125"/>
      <c r="J602" s="117"/>
      <c r="K602" s="146"/>
      <c r="L602" s="146"/>
    </row>
    <row r="603" spans="1:12" ht="10.5">
      <c r="A603" s="146"/>
      <c r="B603" s="104"/>
      <c r="C603" s="104"/>
      <c r="D603" s="104"/>
      <c r="E603" s="104"/>
      <c r="F603" s="104"/>
      <c r="G603" s="104"/>
      <c r="H603" s="124"/>
      <c r="I603" s="125"/>
      <c r="J603" s="146"/>
      <c r="K603" s="146"/>
      <c r="L603" s="146"/>
    </row>
    <row r="604" spans="1:10" ht="10.5">
      <c r="A604" s="146"/>
      <c r="G604" s="123"/>
      <c r="H604" s="279"/>
      <c r="I604" s="280"/>
      <c r="J604" s="146"/>
    </row>
    <row r="605" spans="1:10" ht="9.75">
      <c r="A605" s="121" t="s">
        <v>62</v>
      </c>
      <c r="H605" s="125">
        <f>(H601*E602)/100</f>
        <v>670035.621</v>
      </c>
      <c r="I605" s="125">
        <f>(I601*F602)/100</f>
        <v>754695.930699</v>
      </c>
      <c r="J605" s="117">
        <f>(I605-H605)/H605</f>
        <v>0.12635195360606055</v>
      </c>
    </row>
    <row r="606" spans="1:10" ht="9.75">
      <c r="A606" s="121" t="s">
        <v>18</v>
      </c>
      <c r="H606" s="108">
        <f>'2019 Certified Estimate'!H621</f>
        <v>2878200</v>
      </c>
      <c r="I606" s="118">
        <v>6607075</v>
      </c>
      <c r="J606" s="117">
        <f>(I606-H606)/H606</f>
        <v>1.2955579876311583</v>
      </c>
    </row>
    <row r="607" spans="1:10" ht="9.75">
      <c r="A607" s="121" t="s">
        <v>17</v>
      </c>
      <c r="H607" s="108">
        <f>'2019 Certified Estimate'!H622</f>
        <v>41643</v>
      </c>
      <c r="I607" s="118">
        <v>42420</v>
      </c>
      <c r="J607" s="117">
        <f>(I607-H607)/H607</f>
        <v>0.018658598083711547</v>
      </c>
    </row>
    <row r="608" spans="1:10" s="136" customFormat="1" ht="10.5" thickBot="1">
      <c r="A608" s="132"/>
      <c r="H608" s="140"/>
      <c r="I608" s="140"/>
      <c r="J608" s="206"/>
    </row>
    <row r="609" spans="1:11" ht="10.5" thickBot="1">
      <c r="A609" s="267" t="s">
        <v>86</v>
      </c>
      <c r="B609" s="95" t="s">
        <v>32</v>
      </c>
      <c r="C609" s="96"/>
      <c r="D609" s="97"/>
      <c r="E609" s="95" t="s">
        <v>33</v>
      </c>
      <c r="F609" s="96"/>
      <c r="G609" s="97"/>
      <c r="H609" s="95" t="s">
        <v>34</v>
      </c>
      <c r="I609" s="96"/>
      <c r="J609" s="97"/>
      <c r="K609" s="99"/>
    </row>
    <row r="610" spans="1:11" ht="9.75">
      <c r="A610" s="9" t="s">
        <v>35</v>
      </c>
      <c r="B610" s="101" t="s">
        <v>193</v>
      </c>
      <c r="C610" s="102" t="s">
        <v>188</v>
      </c>
      <c r="D610" s="100" t="s">
        <v>67</v>
      </c>
      <c r="E610" s="101" t="str">
        <f>B610</f>
        <v>2013 Certified</v>
      </c>
      <c r="F610" s="102" t="s">
        <v>188</v>
      </c>
      <c r="G610" s="100" t="s">
        <v>67</v>
      </c>
      <c r="H610" s="101" t="s">
        <v>187</v>
      </c>
      <c r="I610" s="102" t="s">
        <v>189</v>
      </c>
      <c r="J610" s="100" t="s">
        <v>67</v>
      </c>
      <c r="K610" s="207" t="s">
        <v>71</v>
      </c>
    </row>
    <row r="611" spans="1:11" ht="9.75">
      <c r="A611" s="94" t="s">
        <v>149</v>
      </c>
      <c r="B611" s="103"/>
      <c r="C611" s="104"/>
      <c r="D611" s="105"/>
      <c r="E611" s="103"/>
      <c r="F611" s="104"/>
      <c r="G611" s="105"/>
      <c r="H611" s="103"/>
      <c r="I611" s="104"/>
      <c r="J611" s="105"/>
      <c r="K611" s="106"/>
    </row>
    <row r="612" spans="1:11" ht="9.75">
      <c r="A612" s="9" t="s">
        <v>36</v>
      </c>
      <c r="B612" s="107">
        <v>0</v>
      </c>
      <c r="C612" s="108">
        <v>0</v>
      </c>
      <c r="D612" s="105"/>
      <c r="E612" s="108">
        <f>'2019 Certified Estimate'!E628</f>
        <v>7421980</v>
      </c>
      <c r="F612" s="108">
        <v>7040690</v>
      </c>
      <c r="G612" s="110">
        <f>(F612-E612)/E612</f>
        <v>-0.0513730837323733</v>
      </c>
      <c r="H612" s="107">
        <f aca="true" t="shared" si="58" ref="H612:I622">B612+E612</f>
        <v>7421980</v>
      </c>
      <c r="I612" s="108">
        <f t="shared" si="58"/>
        <v>7040690</v>
      </c>
      <c r="J612" s="110">
        <f>(I612-H612)/H612</f>
        <v>-0.0513730837323733</v>
      </c>
      <c r="K612" s="111">
        <f>I612/I623</f>
        <v>0.010109029121617635</v>
      </c>
    </row>
    <row r="613" spans="1:11" ht="9.75">
      <c r="A613" s="9" t="s">
        <v>37</v>
      </c>
      <c r="B613" s="107">
        <v>0</v>
      </c>
      <c r="C613" s="108">
        <v>0</v>
      </c>
      <c r="D613" s="105"/>
      <c r="E613" s="108">
        <f>'2019 Certified Estimate'!E629</f>
        <v>0</v>
      </c>
      <c r="F613" s="108">
        <v>0</v>
      </c>
      <c r="G613" s="110">
        <v>0</v>
      </c>
      <c r="H613" s="107">
        <f t="shared" si="58"/>
        <v>0</v>
      </c>
      <c r="I613" s="108">
        <f t="shared" si="58"/>
        <v>0</v>
      </c>
      <c r="J613" s="110">
        <v>0</v>
      </c>
      <c r="K613" s="111">
        <f>I613/I623</f>
        <v>0</v>
      </c>
    </row>
    <row r="614" spans="1:11" ht="9.75">
      <c r="A614" s="9" t="s">
        <v>38</v>
      </c>
      <c r="B614" s="107">
        <v>0</v>
      </c>
      <c r="C614" s="108">
        <v>0</v>
      </c>
      <c r="D614" s="105"/>
      <c r="E614" s="108">
        <f>'2019 Certified Estimate'!E630</f>
        <v>368060</v>
      </c>
      <c r="F614" s="108">
        <v>2666480</v>
      </c>
      <c r="G614" s="110">
        <f>(F614-E614)/E614</f>
        <v>6.244688366027278</v>
      </c>
      <c r="H614" s="107">
        <f t="shared" si="58"/>
        <v>368060</v>
      </c>
      <c r="I614" s="108">
        <f t="shared" si="58"/>
        <v>2666480</v>
      </c>
      <c r="J614" s="110">
        <f aca="true" t="shared" si="59" ref="J614:J629">(I614-H614)/H614</f>
        <v>6.244688366027278</v>
      </c>
      <c r="K614" s="111">
        <f>I614/I623</f>
        <v>0.003828534415264838</v>
      </c>
    </row>
    <row r="615" spans="1:11" ht="9.75">
      <c r="A615" s="9" t="s">
        <v>39</v>
      </c>
      <c r="B615" s="107">
        <v>0</v>
      </c>
      <c r="C615" s="108">
        <v>0</v>
      </c>
      <c r="D615" s="105"/>
      <c r="E615" s="108">
        <f>'2019 Certified Estimate'!E631</f>
        <v>171255290</v>
      </c>
      <c r="F615" s="108">
        <v>153899590</v>
      </c>
      <c r="G615" s="110">
        <f>(F615-E615)/E615</f>
        <v>-0.10134402271602821</v>
      </c>
      <c r="H615" s="107">
        <f t="shared" si="58"/>
        <v>171255290</v>
      </c>
      <c r="I615" s="108">
        <f t="shared" si="58"/>
        <v>153899590</v>
      </c>
      <c r="J615" s="110">
        <f t="shared" si="59"/>
        <v>-0.10134402271602821</v>
      </c>
      <c r="K615" s="111">
        <f>I615/I623</f>
        <v>0.22096917164582083</v>
      </c>
    </row>
    <row r="616" spans="1:11" ht="9.75">
      <c r="A616" s="9" t="s">
        <v>40</v>
      </c>
      <c r="B616" s="107">
        <v>0</v>
      </c>
      <c r="C616" s="108">
        <v>0</v>
      </c>
      <c r="D616" s="110"/>
      <c r="E616" s="108">
        <f>'2019 Certified Estimate'!E632</f>
        <v>8348620</v>
      </c>
      <c r="F616" s="108">
        <v>65217350</v>
      </c>
      <c r="G616" s="110">
        <f>(F616-E616)/E616</f>
        <v>6.811752121907573</v>
      </c>
      <c r="H616" s="107">
        <f t="shared" si="58"/>
        <v>8348620</v>
      </c>
      <c r="I616" s="108">
        <f t="shared" si="58"/>
        <v>65217350</v>
      </c>
      <c r="J616" s="110">
        <f t="shared" si="59"/>
        <v>6.811752121907573</v>
      </c>
      <c r="K616" s="111">
        <f>I616/I623</f>
        <v>0.09363913059440622</v>
      </c>
    </row>
    <row r="617" spans="1:11" ht="9.75">
      <c r="A617" s="9" t="s">
        <v>41</v>
      </c>
      <c r="B617" s="107">
        <f>'2019 Certified Estimate'!B633</f>
        <v>84751650</v>
      </c>
      <c r="C617" s="109">
        <v>177846210</v>
      </c>
      <c r="D617" s="110">
        <f>(C617-B617)/B617</f>
        <v>1.098439499407976</v>
      </c>
      <c r="E617" s="108">
        <f>'2019 Certified Estimate'!E633</f>
        <v>0</v>
      </c>
      <c r="F617" s="108">
        <v>0</v>
      </c>
      <c r="G617" s="110">
        <v>0</v>
      </c>
      <c r="H617" s="107">
        <f t="shared" si="58"/>
        <v>84751650</v>
      </c>
      <c r="I617" s="108">
        <f t="shared" si="58"/>
        <v>177846210</v>
      </c>
      <c r="J617" s="110">
        <f t="shared" si="59"/>
        <v>1.098439499407976</v>
      </c>
      <c r="K617" s="111">
        <f>I617/I623</f>
        <v>0.2553517504760649</v>
      </c>
    </row>
    <row r="618" spans="1:11" ht="9.75">
      <c r="A618" s="9" t="s">
        <v>42</v>
      </c>
      <c r="B618" s="107">
        <f>'2019 Certified Estimate'!B634</f>
        <v>32494340</v>
      </c>
      <c r="C618" s="109">
        <v>21039660</v>
      </c>
      <c r="D618" s="110">
        <f>(C618-B618)/B618</f>
        <v>-0.3525130838170586</v>
      </c>
      <c r="E618" s="108">
        <f>'2019 Certified Estimate'!E634</f>
        <v>4709420</v>
      </c>
      <c r="F618" s="108">
        <v>4378880</v>
      </c>
      <c r="G618" s="110">
        <f aca="true" t="shared" si="60" ref="G618:G623">(F618-E618)/E618</f>
        <v>-0.07018698693257344</v>
      </c>
      <c r="H618" s="107">
        <f t="shared" si="58"/>
        <v>37203760</v>
      </c>
      <c r="I618" s="108">
        <f t="shared" si="58"/>
        <v>25418540</v>
      </c>
      <c r="J618" s="110">
        <f t="shared" si="59"/>
        <v>-0.3167749711319501</v>
      </c>
      <c r="K618" s="111">
        <f>I618/I623</f>
        <v>0.03649596290832329</v>
      </c>
    </row>
    <row r="619" spans="1:11" ht="9.75">
      <c r="A619" s="9" t="s">
        <v>43</v>
      </c>
      <c r="B619" s="107">
        <f>'2019 Certified Estimate'!B635</f>
        <v>263909590</v>
      </c>
      <c r="C619" s="109">
        <v>247776600</v>
      </c>
      <c r="D619" s="110">
        <f>(C619-B619)/B619</f>
        <v>-0.06113074557086008</v>
      </c>
      <c r="E619" s="108">
        <f>'2019 Certified Estimate'!E635</f>
        <v>5653640</v>
      </c>
      <c r="F619" s="108">
        <v>7462030</v>
      </c>
      <c r="G619" s="110">
        <f t="shared" si="60"/>
        <v>0.31986295554722266</v>
      </c>
      <c r="H619" s="107">
        <f t="shared" si="58"/>
        <v>269563230</v>
      </c>
      <c r="I619" s="108">
        <f t="shared" si="58"/>
        <v>255238630</v>
      </c>
      <c r="J619" s="110">
        <f t="shared" si="59"/>
        <v>-0.05314003694049815</v>
      </c>
      <c r="K619" s="111">
        <f>I619/I623</f>
        <v>0.3664718576775556</v>
      </c>
    </row>
    <row r="620" spans="1:11" ht="9.75">
      <c r="A620" s="9" t="s">
        <v>44</v>
      </c>
      <c r="B620" s="107">
        <v>0</v>
      </c>
      <c r="C620" s="108">
        <v>0</v>
      </c>
      <c r="D620" s="110"/>
      <c r="E620" s="108">
        <f>'2019 Certified Estimate'!E636</f>
        <v>3239650</v>
      </c>
      <c r="F620" s="108">
        <v>3524860</v>
      </c>
      <c r="G620" s="110">
        <f t="shared" si="60"/>
        <v>0.08803728797863966</v>
      </c>
      <c r="H620" s="107">
        <f t="shared" si="58"/>
        <v>3239650</v>
      </c>
      <c r="I620" s="108">
        <f t="shared" si="58"/>
        <v>3524860</v>
      </c>
      <c r="J620" s="110">
        <f t="shared" si="59"/>
        <v>0.08803728797863966</v>
      </c>
      <c r="K620" s="111">
        <f>I620/I623</f>
        <v>0.005060997201925541</v>
      </c>
    </row>
    <row r="621" spans="1:11" ht="9.75">
      <c r="A621" s="9" t="s">
        <v>45</v>
      </c>
      <c r="B621" s="107">
        <v>0</v>
      </c>
      <c r="C621" s="108">
        <v>0</v>
      </c>
      <c r="D621" s="110"/>
      <c r="E621" s="108">
        <f>'2019 Certified Estimate'!E637</f>
        <v>0</v>
      </c>
      <c r="F621" s="108">
        <v>8100</v>
      </c>
      <c r="G621" s="110">
        <v>1</v>
      </c>
      <c r="H621" s="107">
        <f t="shared" si="58"/>
        <v>0</v>
      </c>
      <c r="I621" s="108">
        <f t="shared" si="58"/>
        <v>8100</v>
      </c>
      <c r="J621" s="110">
        <v>1</v>
      </c>
      <c r="K621" s="111">
        <f>I621/I623</f>
        <v>1.1629987385483928E-05</v>
      </c>
    </row>
    <row r="622" spans="1:11" ht="10.5" thickBot="1">
      <c r="A622" s="9" t="s">
        <v>64</v>
      </c>
      <c r="B622" s="107">
        <v>0</v>
      </c>
      <c r="C622" s="108">
        <v>0</v>
      </c>
      <c r="D622" s="110"/>
      <c r="E622" s="108">
        <f>'2019 Certified Estimate'!E638</f>
        <v>5936760</v>
      </c>
      <c r="F622" s="108">
        <v>5614940</v>
      </c>
      <c r="G622" s="110">
        <f t="shared" si="60"/>
        <v>-0.054208019188917864</v>
      </c>
      <c r="H622" s="107">
        <f t="shared" si="58"/>
        <v>5936760</v>
      </c>
      <c r="I622" s="108">
        <f t="shared" si="58"/>
        <v>5614940</v>
      </c>
      <c r="J622" s="110">
        <f t="shared" si="59"/>
        <v>-0.054208019188917864</v>
      </c>
      <c r="K622" s="111">
        <f>I622/I623</f>
        <v>0.008061935971635695</v>
      </c>
    </row>
    <row r="623" spans="1:11" ht="10.5" thickBot="1">
      <c r="A623" s="250" t="s">
        <v>47</v>
      </c>
      <c r="B623" s="259">
        <f>SUM(B612:B622)</f>
        <v>381155580</v>
      </c>
      <c r="C623" s="260">
        <f>SUM(C612:C622)</f>
        <v>446662470</v>
      </c>
      <c r="D623" s="256">
        <f>(C623-B623)/B623</f>
        <v>0.17186391446768273</v>
      </c>
      <c r="E623" s="259">
        <f>SUM(E612:E622)</f>
        <v>206933420</v>
      </c>
      <c r="F623" s="260">
        <f>SUM(F612:F622)</f>
        <v>249812920</v>
      </c>
      <c r="G623" s="256">
        <f t="shared" si="60"/>
        <v>0.20721399182403694</v>
      </c>
      <c r="H623" s="263">
        <f>SUM(H612:H622)</f>
        <v>588089000</v>
      </c>
      <c r="I623" s="255">
        <f>SUM(I612:I622)</f>
        <v>696475390</v>
      </c>
      <c r="J623" s="256">
        <f t="shared" si="59"/>
        <v>0.1843026990812615</v>
      </c>
      <c r="K623" s="261">
        <f>SUM(K612:K622)</f>
        <v>1</v>
      </c>
    </row>
    <row r="624" spans="1:10" ht="9.75">
      <c r="A624" s="113" t="str">
        <f>A16</f>
        <v>Less Minimum Value Loss</v>
      </c>
      <c r="H624" s="108">
        <f>'2019 Certified Estimate'!H640</f>
        <v>0</v>
      </c>
      <c r="I624" s="118">
        <v>0</v>
      </c>
      <c r="J624" s="126">
        <v>0</v>
      </c>
    </row>
    <row r="625" spans="1:10" ht="9.75">
      <c r="A625" s="113" t="s">
        <v>174</v>
      </c>
      <c r="H625" s="108">
        <f>'2019 Certified Estimate'!H641</f>
        <v>-220722</v>
      </c>
      <c r="I625" s="118">
        <v>-205560</v>
      </c>
      <c r="J625" s="126">
        <f t="shared" si="59"/>
        <v>-0.06869274471960203</v>
      </c>
    </row>
    <row r="626" spans="1:10" ht="10.5" thickBot="1">
      <c r="A626" s="113" t="s">
        <v>49</v>
      </c>
      <c r="H626" s="108">
        <f>'2019 Certified Estimate'!H642</f>
        <v>-52958630</v>
      </c>
      <c r="I626" s="118">
        <v>-47070570</v>
      </c>
      <c r="J626" s="126">
        <f t="shared" si="59"/>
        <v>-0.11118225679176369</v>
      </c>
    </row>
    <row r="627" spans="1:10" ht="10.5" thickBot="1">
      <c r="A627" s="250" t="s">
        <v>50</v>
      </c>
      <c r="B627" s="253"/>
      <c r="C627" s="253"/>
      <c r="D627" s="253"/>
      <c r="E627" s="253"/>
      <c r="F627" s="253"/>
      <c r="G627" s="253"/>
      <c r="H627" s="254">
        <f>SUM(H623:H626)</f>
        <v>534909648</v>
      </c>
      <c r="I627" s="255">
        <f>SUM(I623:I626)</f>
        <v>649199260</v>
      </c>
      <c r="J627" s="256">
        <f t="shared" si="59"/>
        <v>0.21366152662851204</v>
      </c>
    </row>
    <row r="628" spans="1:10" ht="9.75">
      <c r="A628" s="113" t="s">
        <v>127</v>
      </c>
      <c r="H628" s="108">
        <f>'2019 Certified Estimate'!H644</f>
        <v>-491550</v>
      </c>
      <c r="I628" s="120">
        <v>-480520</v>
      </c>
      <c r="J628" s="117">
        <f>(I628-H628)/H628</f>
        <v>-0.022439222866442884</v>
      </c>
    </row>
    <row r="629" spans="1:10" ht="9.75">
      <c r="A629" s="113" t="s">
        <v>78</v>
      </c>
      <c r="H629" s="108">
        <f>'2019 Certified Estimate'!H645</f>
        <v>-21129310</v>
      </c>
      <c r="I629" s="120">
        <v>-16596850</v>
      </c>
      <c r="J629" s="117">
        <f t="shared" si="59"/>
        <v>-0.2145105542963779</v>
      </c>
    </row>
    <row r="630" spans="1:10" ht="9.75">
      <c r="A630" s="113" t="s">
        <v>128</v>
      </c>
      <c r="H630" s="108">
        <f>'2019 Certified Estimate'!H646</f>
        <v>0</v>
      </c>
      <c r="I630" s="120">
        <v>0</v>
      </c>
      <c r="J630" s="117">
        <v>0</v>
      </c>
    </row>
    <row r="631" spans="1:10" ht="9.75">
      <c r="A631" s="113" t="s">
        <v>157</v>
      </c>
      <c r="H631" s="108">
        <f>'2019 Certified Estimate'!H647</f>
        <v>-5936760</v>
      </c>
      <c r="I631" s="118">
        <v>-5487725</v>
      </c>
      <c r="J631" s="117">
        <f>(I631-H631)/H631</f>
        <v>-0.07563637404914465</v>
      </c>
    </row>
    <row r="632" spans="1:10" ht="9.75">
      <c r="A632" s="113" t="s">
        <v>53</v>
      </c>
      <c r="H632" s="108">
        <f>'2019 Certified Estimate'!H648</f>
        <v>0</v>
      </c>
      <c r="I632" s="118">
        <v>0</v>
      </c>
      <c r="J632" s="117">
        <v>0</v>
      </c>
    </row>
    <row r="633" spans="1:10" ht="9.75">
      <c r="A633" s="113" t="s">
        <v>54</v>
      </c>
      <c r="H633" s="108">
        <f>'2019 Certified Estimate'!H649</f>
        <v>0</v>
      </c>
      <c r="I633" s="118">
        <v>0</v>
      </c>
      <c r="J633" s="117">
        <v>0</v>
      </c>
    </row>
    <row r="634" spans="1:10" ht="9.75">
      <c r="A634" s="113" t="s">
        <v>55</v>
      </c>
      <c r="H634" s="108">
        <f>'2019 Certified Estimate'!H650</f>
        <v>0</v>
      </c>
      <c r="I634" s="118">
        <v>0</v>
      </c>
      <c r="J634" s="117">
        <v>0</v>
      </c>
    </row>
    <row r="635" spans="1:10" ht="9.75">
      <c r="A635" s="113" t="s">
        <v>56</v>
      </c>
      <c r="H635" s="108">
        <f>'2019 Certified Estimate'!H651</f>
        <v>-1431864</v>
      </c>
      <c r="I635" s="118">
        <v>-935552</v>
      </c>
      <c r="J635" s="117">
        <f>(I635-H635)/H635</f>
        <v>-0.34661951135023994</v>
      </c>
    </row>
    <row r="636" spans="1:10" ht="9.75">
      <c r="A636" s="113" t="s">
        <v>57</v>
      </c>
      <c r="H636" s="108">
        <f>'2019 Certified Estimate'!H652</f>
        <v>-13337146</v>
      </c>
      <c r="I636" s="120">
        <v>-12049381</v>
      </c>
      <c r="J636" s="117">
        <f>(I636-H636)/H636</f>
        <v>-0.0965547651649011</v>
      </c>
    </row>
    <row r="637" spans="1:10" ht="9.75">
      <c r="A637" s="113" t="s">
        <v>58</v>
      </c>
      <c r="H637" s="108">
        <f>'2019 Certified Estimate'!H653</f>
        <v>-1575690</v>
      </c>
      <c r="I637" s="120">
        <v>-1337555</v>
      </c>
      <c r="J637" s="117">
        <f>(I637-H637)/H637</f>
        <v>-0.15113061579371576</v>
      </c>
    </row>
    <row r="638" spans="1:10" ht="10.5" thickBot="1">
      <c r="A638" s="113" t="s">
        <v>59</v>
      </c>
      <c r="H638" s="108">
        <f>'2019 Certified Estimate'!H654</f>
        <v>0</v>
      </c>
      <c r="I638" s="120">
        <v>0</v>
      </c>
      <c r="J638" s="126">
        <v>0</v>
      </c>
    </row>
    <row r="639" spans="1:10" ht="10.5" thickBot="1">
      <c r="A639" s="250" t="s">
        <v>60</v>
      </c>
      <c r="B639" s="253"/>
      <c r="C639" s="253"/>
      <c r="D639" s="253"/>
      <c r="E639" s="253"/>
      <c r="F639" s="253"/>
      <c r="G639" s="253"/>
      <c r="H639" s="254">
        <f>SUM(H627:H638)</f>
        <v>491007328</v>
      </c>
      <c r="I639" s="255">
        <f>SUM(I627:I638)</f>
        <v>612311677</v>
      </c>
      <c r="J639" s="256">
        <f>(I639-H639)/H639</f>
        <v>0.2470520134477504</v>
      </c>
    </row>
    <row r="640" spans="1:12" ht="10.5">
      <c r="A640" s="121" t="str">
        <f>A602</f>
        <v>2014 Adpoted/2014 Revenue Neutral Tax Rate</v>
      </c>
      <c r="E640" s="217">
        <v>0.084027</v>
      </c>
      <c r="F640" s="139">
        <v>0.08982</v>
      </c>
      <c r="G640" s="123"/>
      <c r="H640" s="124"/>
      <c r="I640" s="125"/>
      <c r="J640" s="117"/>
      <c r="K640" s="146"/>
      <c r="L640" s="146"/>
    </row>
    <row r="641" spans="1:12" ht="10.5">
      <c r="A641" s="146"/>
      <c r="B641" s="104"/>
      <c r="C641" s="104"/>
      <c r="D641" s="104"/>
      <c r="E641" s="104"/>
      <c r="F641" s="104"/>
      <c r="G641" s="104"/>
      <c r="H641" s="124"/>
      <c r="I641" s="125"/>
      <c r="J641" s="146"/>
      <c r="K641" s="146"/>
      <c r="L641" s="146"/>
    </row>
    <row r="642" spans="1:10" ht="10.5">
      <c r="A642" s="146"/>
      <c r="G642" s="123"/>
      <c r="H642" s="146"/>
      <c r="I642" s="148"/>
      <c r="J642" s="146"/>
    </row>
    <row r="643" spans="1:10" ht="9.75">
      <c r="A643" s="121" t="s">
        <v>62</v>
      </c>
      <c r="H643" s="131">
        <f>(H639*E640)/100</f>
        <v>412578.72749856004</v>
      </c>
      <c r="I643" s="131">
        <f>(I639*F640)/100</f>
        <v>549978.3482813999</v>
      </c>
      <c r="J643" s="117">
        <f>(I643-H643)/H643</f>
        <v>0.33302643016978967</v>
      </c>
    </row>
    <row r="644" spans="1:10" ht="9.75">
      <c r="A644" s="121" t="s">
        <v>18</v>
      </c>
      <c r="H644" s="108">
        <f>'2019 Certified Estimate'!H660</f>
        <v>1782894</v>
      </c>
      <c r="I644" s="118">
        <v>1751936</v>
      </c>
      <c r="J644" s="117">
        <f>(I644-H644)/H644</f>
        <v>-0.017363903855192736</v>
      </c>
    </row>
    <row r="645" spans="1:10" ht="9.75">
      <c r="A645" s="121" t="s">
        <v>17</v>
      </c>
      <c r="H645" s="108">
        <f>'2019 Certified Estimate'!H661</f>
        <v>41487</v>
      </c>
      <c r="I645" s="118">
        <v>42457</v>
      </c>
      <c r="J645" s="117">
        <f>(I645-H645)/H645</f>
        <v>0.023380818087593704</v>
      </c>
    </row>
    <row r="646" s="220" customFormat="1" ht="10.5" thickBot="1">
      <c r="K646" s="221"/>
    </row>
    <row r="647" spans="1:11" ht="10.5" thickBot="1">
      <c r="A647" s="267" t="s">
        <v>158</v>
      </c>
      <c r="B647" s="95" t="s">
        <v>32</v>
      </c>
      <c r="C647" s="96"/>
      <c r="D647" s="97"/>
      <c r="E647" s="95" t="s">
        <v>33</v>
      </c>
      <c r="F647" s="96"/>
      <c r="G647" s="97"/>
      <c r="H647" s="95" t="s">
        <v>34</v>
      </c>
      <c r="I647" s="96"/>
      <c r="J647" s="97"/>
      <c r="K647" s="99"/>
    </row>
    <row r="648" spans="1:11" ht="9.75">
      <c r="A648" s="9" t="s">
        <v>35</v>
      </c>
      <c r="B648" s="233" t="s">
        <v>193</v>
      </c>
      <c r="C648" s="234" t="s">
        <v>188</v>
      </c>
      <c r="D648" s="232" t="s">
        <v>67</v>
      </c>
      <c r="E648" s="233" t="str">
        <f>B648</f>
        <v>2013 Certified</v>
      </c>
      <c r="F648" s="234" t="s">
        <v>188</v>
      </c>
      <c r="G648" s="232" t="s">
        <v>67</v>
      </c>
      <c r="H648" s="233" t="s">
        <v>187</v>
      </c>
      <c r="I648" s="234" t="s">
        <v>189</v>
      </c>
      <c r="J648" s="232" t="s">
        <v>67</v>
      </c>
      <c r="K648" s="238" t="s">
        <v>71</v>
      </c>
    </row>
    <row r="649" spans="1:11" ht="9.75">
      <c r="A649" s="93"/>
      <c r="B649" s="103"/>
      <c r="C649" s="104"/>
      <c r="D649" s="105"/>
      <c r="E649" s="103"/>
      <c r="F649" s="104"/>
      <c r="G649" s="105"/>
      <c r="H649" s="103"/>
      <c r="I649" s="104"/>
      <c r="J649" s="105"/>
      <c r="K649" s="106"/>
    </row>
    <row r="650" spans="1:11" ht="9.75">
      <c r="A650" s="9" t="s">
        <v>36</v>
      </c>
      <c r="B650" s="107">
        <v>0</v>
      </c>
      <c r="C650" s="108">
        <v>0</v>
      </c>
      <c r="D650" s="105"/>
      <c r="E650" s="108">
        <f>'2019 Certified Estimate'!E666</f>
        <v>277833900</v>
      </c>
      <c r="F650" s="109">
        <v>213294880</v>
      </c>
      <c r="G650" s="110">
        <f aca="true" t="shared" si="61" ref="G650:G661">(F650-E650)/E650</f>
        <v>-0.23229353941329695</v>
      </c>
      <c r="H650" s="107">
        <f aca="true" t="shared" si="62" ref="H650:I660">B650+E650</f>
        <v>277833900</v>
      </c>
      <c r="I650" s="108">
        <f t="shared" si="62"/>
        <v>213294880</v>
      </c>
      <c r="J650" s="110">
        <f aca="true" t="shared" si="63" ref="J650:J677">(I650-H650)/H650</f>
        <v>-0.23229353941329695</v>
      </c>
      <c r="K650" s="111">
        <f>I650/I661</f>
        <v>0.22470934865267708</v>
      </c>
    </row>
    <row r="651" spans="1:11" ht="9.75">
      <c r="A651" s="9" t="s">
        <v>37</v>
      </c>
      <c r="B651" s="107">
        <v>0</v>
      </c>
      <c r="C651" s="108">
        <v>0</v>
      </c>
      <c r="D651" s="105"/>
      <c r="E651" s="108">
        <f>'2019 Certified Estimate'!E667</f>
        <v>29228790</v>
      </c>
      <c r="F651" s="109">
        <v>14454680</v>
      </c>
      <c r="G651" s="110">
        <f t="shared" si="61"/>
        <v>-0.5054643042014397</v>
      </c>
      <c r="H651" s="107">
        <f t="shared" si="62"/>
        <v>29228790</v>
      </c>
      <c r="I651" s="108">
        <f t="shared" si="62"/>
        <v>14454680</v>
      </c>
      <c r="J651" s="110">
        <f t="shared" si="63"/>
        <v>-0.5054643042014397</v>
      </c>
      <c r="K651" s="111">
        <f>I651/I661</f>
        <v>0.015228221735950148</v>
      </c>
    </row>
    <row r="652" spans="1:11" ht="9.75">
      <c r="A652" s="9" t="s">
        <v>38</v>
      </c>
      <c r="B652" s="107">
        <v>0</v>
      </c>
      <c r="C652" s="108">
        <v>0</v>
      </c>
      <c r="D652" s="105"/>
      <c r="E652" s="108">
        <f>'2019 Certified Estimate'!E668</f>
        <v>4697060</v>
      </c>
      <c r="F652" s="109">
        <v>5815180</v>
      </c>
      <c r="G652" s="110">
        <f t="shared" si="61"/>
        <v>0.23804677819742562</v>
      </c>
      <c r="H652" s="107">
        <f t="shared" si="62"/>
        <v>4697060</v>
      </c>
      <c r="I652" s="108">
        <f t="shared" si="62"/>
        <v>5815180</v>
      </c>
      <c r="J652" s="110">
        <f t="shared" si="63"/>
        <v>0.23804677819742562</v>
      </c>
      <c r="K652" s="111">
        <f>I652/I661</f>
        <v>0.006126379170930286</v>
      </c>
    </row>
    <row r="653" spans="1:11" ht="9.75">
      <c r="A653" s="9" t="s">
        <v>39</v>
      </c>
      <c r="B653" s="107">
        <v>0</v>
      </c>
      <c r="C653" s="108">
        <v>0</v>
      </c>
      <c r="D653" s="105"/>
      <c r="E653" s="108">
        <f>'2019 Certified Estimate'!E669</f>
        <v>309699870</v>
      </c>
      <c r="F653" s="109">
        <v>286805280</v>
      </c>
      <c r="G653" s="110">
        <f t="shared" si="61"/>
        <v>-0.07392508753716945</v>
      </c>
      <c r="H653" s="107">
        <f t="shared" si="62"/>
        <v>309699870</v>
      </c>
      <c r="I653" s="108">
        <f t="shared" si="62"/>
        <v>286805280</v>
      </c>
      <c r="J653" s="110">
        <f t="shared" si="63"/>
        <v>-0.07392508753716945</v>
      </c>
      <c r="K653" s="111">
        <f>I653/I661</f>
        <v>0.30215365534769834</v>
      </c>
    </row>
    <row r="654" spans="1:11" ht="9.75">
      <c r="A654" s="9" t="s">
        <v>40</v>
      </c>
      <c r="B654" s="107">
        <v>0</v>
      </c>
      <c r="C654" s="108">
        <v>0</v>
      </c>
      <c r="D654" s="110"/>
      <c r="E654" s="108">
        <f>'2019 Certified Estimate'!E670</f>
        <v>30495020</v>
      </c>
      <c r="F654" s="109">
        <v>216920400</v>
      </c>
      <c r="G654" s="110">
        <f t="shared" si="61"/>
        <v>6.113305713523061</v>
      </c>
      <c r="H654" s="107">
        <f t="shared" si="62"/>
        <v>30495020</v>
      </c>
      <c r="I654" s="108">
        <f t="shared" si="62"/>
        <v>216920400</v>
      </c>
      <c r="J654" s="110">
        <f t="shared" si="63"/>
        <v>6.113305713523061</v>
      </c>
      <c r="K654" s="111">
        <f>I654/I661</f>
        <v>0.22852888823903403</v>
      </c>
    </row>
    <row r="655" spans="1:11" ht="9.75">
      <c r="A655" s="9" t="s">
        <v>41</v>
      </c>
      <c r="B655" s="107">
        <f>'2019 Certified Estimate'!B671</f>
        <v>25380850</v>
      </c>
      <c r="C655" s="108">
        <v>64069020</v>
      </c>
      <c r="D655" s="110">
        <f>(C655-B655)/B655</f>
        <v>1.5243055295626426</v>
      </c>
      <c r="E655" s="108">
        <f>'2019 Certified Estimate'!E671</f>
        <v>0</v>
      </c>
      <c r="F655" s="109"/>
      <c r="G655" s="110">
        <v>0</v>
      </c>
      <c r="H655" s="107">
        <f t="shared" si="62"/>
        <v>25380850</v>
      </c>
      <c r="I655" s="108">
        <f>SUM(C655+F655)</f>
        <v>64069020</v>
      </c>
      <c r="J655" s="110">
        <f t="shared" si="63"/>
        <v>1.5243055295626426</v>
      </c>
      <c r="K655" s="111">
        <f>I655/I661</f>
        <v>0.06749767154755586</v>
      </c>
    </row>
    <row r="656" spans="1:11" ht="9.75">
      <c r="A656" s="9" t="s">
        <v>42</v>
      </c>
      <c r="B656" s="107">
        <f>'2019 Certified Estimate'!B672</f>
        <v>52327640</v>
      </c>
      <c r="C656" s="108">
        <v>47722390</v>
      </c>
      <c r="D656" s="110">
        <f>(C656-B656)/B656</f>
        <v>-0.08800798201485868</v>
      </c>
      <c r="E656" s="108">
        <f>'2019 Certified Estimate'!E672</f>
        <v>2905220</v>
      </c>
      <c r="F656" s="109">
        <v>2707920</v>
      </c>
      <c r="G656" s="110">
        <f t="shared" si="61"/>
        <v>-0.06791224072531513</v>
      </c>
      <c r="H656" s="107">
        <f t="shared" si="62"/>
        <v>55232860</v>
      </c>
      <c r="I656" s="108">
        <f>SUM(C656+F656)</f>
        <v>50430310</v>
      </c>
      <c r="J656" s="110">
        <f t="shared" si="63"/>
        <v>-0.08695095636908898</v>
      </c>
      <c r="K656" s="111">
        <f>I656/I661</f>
        <v>0.0531290864199487</v>
      </c>
    </row>
    <row r="657" spans="1:11" ht="11.25" customHeight="1">
      <c r="A657" s="9" t="s">
        <v>43</v>
      </c>
      <c r="B657" s="107">
        <f>'2019 Certified Estimate'!B673</f>
        <v>45966190</v>
      </c>
      <c r="C657" s="108">
        <v>60241090</v>
      </c>
      <c r="D657" s="110">
        <f>(C657-B657)/B657</f>
        <v>0.31055216888761067</v>
      </c>
      <c r="E657" s="108">
        <f>'2019 Certified Estimate'!E673</f>
        <v>10765440</v>
      </c>
      <c r="F657" s="109">
        <v>9867730</v>
      </c>
      <c r="G657" s="110">
        <f t="shared" si="61"/>
        <v>-0.08338813833898104</v>
      </c>
      <c r="H657" s="107">
        <f t="shared" si="62"/>
        <v>56731630</v>
      </c>
      <c r="I657" s="108">
        <f>SUM(C657+F657)</f>
        <v>70108820</v>
      </c>
      <c r="J657" s="110">
        <f t="shared" si="63"/>
        <v>0.23579773752314184</v>
      </c>
      <c r="K657" s="111">
        <f>I657/I661</f>
        <v>0.07386069125057189</v>
      </c>
    </row>
    <row r="658" spans="1:11" ht="9.75">
      <c r="A658" s="9" t="s">
        <v>44</v>
      </c>
      <c r="B658" s="107">
        <v>0</v>
      </c>
      <c r="C658" s="108">
        <v>0</v>
      </c>
      <c r="D658" s="110"/>
      <c r="E658" s="108">
        <f>'2019 Certified Estimate'!E674</f>
        <v>7759280</v>
      </c>
      <c r="F658" s="109">
        <v>7984520</v>
      </c>
      <c r="G658" s="110">
        <f t="shared" si="61"/>
        <v>0.029028466558752873</v>
      </c>
      <c r="H658" s="107">
        <f t="shared" si="62"/>
        <v>7759280</v>
      </c>
      <c r="I658" s="108">
        <f t="shared" si="62"/>
        <v>7984520</v>
      </c>
      <c r="J658" s="110">
        <f t="shared" si="63"/>
        <v>0.029028466558752873</v>
      </c>
      <c r="K658" s="111">
        <f>I658/I661</f>
        <v>0.008411811331356258</v>
      </c>
    </row>
    <row r="659" spans="1:11" ht="9.75">
      <c r="A659" s="9" t="s">
        <v>45</v>
      </c>
      <c r="B659" s="107">
        <v>0</v>
      </c>
      <c r="C659" s="108">
        <v>0</v>
      </c>
      <c r="D659" s="110"/>
      <c r="E659" s="108">
        <f>'2019 Certified Estimate'!E675</f>
        <v>4184580</v>
      </c>
      <c r="F659" s="109">
        <v>1346500</v>
      </c>
      <c r="G659" s="110">
        <f t="shared" si="61"/>
        <v>-0.678223382035951</v>
      </c>
      <c r="H659" s="107">
        <f t="shared" si="62"/>
        <v>4184580</v>
      </c>
      <c r="I659" s="108">
        <f t="shared" si="62"/>
        <v>1346500</v>
      </c>
      <c r="J659" s="110">
        <f t="shared" si="63"/>
        <v>-0.678223382035951</v>
      </c>
      <c r="K659" s="111">
        <f>I659/I661</f>
        <v>0.001418557904253631</v>
      </c>
    </row>
    <row r="660" spans="1:11" ht="10.5" thickBot="1">
      <c r="A660" s="9" t="s">
        <v>64</v>
      </c>
      <c r="B660" s="107">
        <v>0</v>
      </c>
      <c r="C660" s="108">
        <v>0</v>
      </c>
      <c r="D660" s="110"/>
      <c r="E660" s="108">
        <f>'2019 Certified Estimate'!E676</f>
        <v>53134990</v>
      </c>
      <c r="F660" s="109">
        <v>17973820</v>
      </c>
      <c r="G660" s="110">
        <f t="shared" si="61"/>
        <v>-0.6617328807251116</v>
      </c>
      <c r="H660" s="107">
        <f t="shared" si="62"/>
        <v>53134990</v>
      </c>
      <c r="I660" s="108">
        <f t="shared" si="62"/>
        <v>17973820</v>
      </c>
      <c r="J660" s="110">
        <f t="shared" si="63"/>
        <v>-0.6617328807251116</v>
      </c>
      <c r="K660" s="111">
        <f>I660/I661</f>
        <v>0.018935688400023763</v>
      </c>
    </row>
    <row r="661" spans="1:11" ht="10.5" thickBot="1">
      <c r="A661" s="250" t="s">
        <v>47</v>
      </c>
      <c r="B661" s="259">
        <f>SUM(B650:B660)</f>
        <v>123674680</v>
      </c>
      <c r="C661" s="260">
        <f>SUM(C650:C660)</f>
        <v>172032500</v>
      </c>
      <c r="D661" s="256">
        <f>(C661-B661)/B661</f>
        <v>0.3910082484143076</v>
      </c>
      <c r="E661" s="259">
        <f>SUM(E650:E660)</f>
        <v>730704150</v>
      </c>
      <c r="F661" s="260">
        <f>SUM(F650:F660)</f>
        <v>777170910</v>
      </c>
      <c r="G661" s="256">
        <f t="shared" si="61"/>
        <v>0.0635917559794891</v>
      </c>
      <c r="H661" s="263">
        <f>SUM(H650:H660)</f>
        <v>854378830</v>
      </c>
      <c r="I661" s="255">
        <f>SUM(I650:I660)</f>
        <v>949203410</v>
      </c>
      <c r="J661" s="256">
        <f t="shared" si="63"/>
        <v>0.11098657488973597</v>
      </c>
      <c r="K661" s="261">
        <f>SUM(K650:K660)</f>
        <v>1</v>
      </c>
    </row>
    <row r="662" spans="1:10" ht="9.75">
      <c r="A662" s="113" t="str">
        <f>A54</f>
        <v>Less Minimum Value Loss</v>
      </c>
      <c r="H662" s="108">
        <f>'2019 Certified Estimate'!H678</f>
        <v>0</v>
      </c>
      <c r="I662" s="118">
        <v>0</v>
      </c>
      <c r="J662" s="126">
        <v>0</v>
      </c>
    </row>
    <row r="663" spans="1:10" ht="9.75">
      <c r="A663" s="113" t="s">
        <v>174</v>
      </c>
      <c r="H663" s="108">
        <f>'2019 Certified Estimate'!H679</f>
        <v>-1635130</v>
      </c>
      <c r="I663" s="118">
        <v>-1156140</v>
      </c>
      <c r="J663" s="126">
        <f t="shared" si="63"/>
        <v>-0.2929369530251417</v>
      </c>
    </row>
    <row r="664" spans="1:10" ht="10.5" thickBot="1">
      <c r="A664" s="113" t="s">
        <v>49</v>
      </c>
      <c r="H664" s="108">
        <f>'2019 Certified Estimate'!H680</f>
        <v>-80610510</v>
      </c>
      <c r="I664" s="118">
        <v>-76874530</v>
      </c>
      <c r="J664" s="126">
        <f t="shared" si="63"/>
        <v>-0.04634606579216531</v>
      </c>
    </row>
    <row r="665" spans="1:10" ht="10.5" thickBot="1">
      <c r="A665" s="250" t="s">
        <v>50</v>
      </c>
      <c r="B665" s="253"/>
      <c r="C665" s="253"/>
      <c r="D665" s="253"/>
      <c r="E665" s="253"/>
      <c r="F665" s="253"/>
      <c r="G665" s="253"/>
      <c r="H665" s="254">
        <f>SUM(H661:H664)</f>
        <v>772133190</v>
      </c>
      <c r="I665" s="255">
        <f>SUM(I661:I664)</f>
        <v>871172740</v>
      </c>
      <c r="J665" s="256">
        <f t="shared" si="63"/>
        <v>0.12826744308193772</v>
      </c>
    </row>
    <row r="666" spans="1:10" ht="9.75">
      <c r="A666" s="113" t="s">
        <v>127</v>
      </c>
      <c r="H666" s="108">
        <f>'2019 Certified Estimate'!H682</f>
        <v>-357230</v>
      </c>
      <c r="I666" s="120">
        <v>-261100</v>
      </c>
      <c r="J666" s="126">
        <f t="shared" si="63"/>
        <v>-0.2690983400050388</v>
      </c>
    </row>
    <row r="667" spans="1:10" ht="9.75">
      <c r="A667" s="113" t="s">
        <v>78</v>
      </c>
      <c r="H667" s="108">
        <f>'2019 Certified Estimate'!H683</f>
        <v>-25494970</v>
      </c>
      <c r="I667" s="120">
        <v>-15873140</v>
      </c>
      <c r="J667" s="126">
        <f t="shared" si="63"/>
        <v>-0.3774011108857943</v>
      </c>
    </row>
    <row r="668" spans="1:10" ht="9.75">
      <c r="A668" s="113" t="s">
        <v>128</v>
      </c>
      <c r="H668" s="108">
        <f>'2019 Certified Estimate'!H684</f>
        <v>0</v>
      </c>
      <c r="I668" s="120"/>
      <c r="J668" s="126">
        <v>0</v>
      </c>
    </row>
    <row r="669" spans="1:10" ht="9.75">
      <c r="A669" s="113" t="s">
        <v>157</v>
      </c>
      <c r="H669" s="108">
        <f>'2019 Certified Estimate'!H685</f>
        <v>-53044170</v>
      </c>
      <c r="I669" s="118">
        <v>-18032850</v>
      </c>
      <c r="J669" s="126">
        <f t="shared" si="63"/>
        <v>-0.6600408678276991</v>
      </c>
    </row>
    <row r="670" spans="1:10" ht="9.75">
      <c r="A670" s="113" t="s">
        <v>53</v>
      </c>
      <c r="H670" s="108">
        <f>'2019 Certified Estimate'!H686</f>
        <v>0</v>
      </c>
      <c r="I670" s="118">
        <v>0</v>
      </c>
      <c r="J670" s="126">
        <v>0</v>
      </c>
    </row>
    <row r="671" spans="1:10" ht="9.75">
      <c r="A671" s="113" t="s">
        <v>54</v>
      </c>
      <c r="H671" s="108">
        <f>'2019 Certified Estimate'!H687</f>
        <v>0</v>
      </c>
      <c r="I671" s="118">
        <v>0</v>
      </c>
      <c r="J671" s="126">
        <v>0</v>
      </c>
    </row>
    <row r="672" spans="1:10" ht="9.75">
      <c r="A672" s="113" t="s">
        <v>55</v>
      </c>
      <c r="H672" s="108">
        <f>'2019 Certified Estimate'!H688</f>
        <v>0</v>
      </c>
      <c r="I672" s="118">
        <v>0</v>
      </c>
      <c r="J672" s="126">
        <v>0</v>
      </c>
    </row>
    <row r="673" spans="1:10" ht="9.75">
      <c r="A673" s="113" t="s">
        <v>56</v>
      </c>
      <c r="H673" s="108">
        <f>'2019 Certified Estimate'!H689</f>
        <v>-6081240</v>
      </c>
      <c r="I673" s="118">
        <v>-3095150</v>
      </c>
      <c r="J673" s="126">
        <f t="shared" si="63"/>
        <v>-0.49103307877998564</v>
      </c>
    </row>
    <row r="674" spans="1:10" ht="9.75">
      <c r="A674" s="113" t="s">
        <v>57</v>
      </c>
      <c r="H674" s="108">
        <f>'2019 Certified Estimate'!H690</f>
        <v>-72728800</v>
      </c>
      <c r="I674" s="120">
        <v>-62310333</v>
      </c>
      <c r="J674" s="126">
        <f t="shared" si="63"/>
        <v>-0.1432509129808274</v>
      </c>
    </row>
    <row r="675" spans="1:10" ht="9.75">
      <c r="A675" s="113" t="s">
        <v>58</v>
      </c>
      <c r="H675" s="108">
        <f>'2019 Certified Estimate'!H691</f>
        <v>-4823437</v>
      </c>
      <c r="I675" s="120">
        <v>-4061627</v>
      </c>
      <c r="J675" s="126">
        <f t="shared" si="63"/>
        <v>-0.15793924539700632</v>
      </c>
    </row>
    <row r="676" spans="1:10" ht="10.5" thickBot="1">
      <c r="A676" s="113" t="s">
        <v>59</v>
      </c>
      <c r="H676" s="108">
        <f>'2019 Certified Estimate'!H692</f>
        <v>0</v>
      </c>
      <c r="I676" s="120">
        <v>0</v>
      </c>
      <c r="J676" s="126">
        <v>0</v>
      </c>
    </row>
    <row r="677" spans="1:12" ht="10.5" thickBot="1">
      <c r="A677" s="250" t="s">
        <v>60</v>
      </c>
      <c r="B677" s="253"/>
      <c r="C677" s="253"/>
      <c r="D677" s="253"/>
      <c r="E677" s="253"/>
      <c r="F677" s="253"/>
      <c r="G677" s="253"/>
      <c r="H677" s="254">
        <f>SUM(H665:H676)</f>
        <v>609603343</v>
      </c>
      <c r="I677" s="255">
        <f>SUM(I665:I676)</f>
        <v>767538540</v>
      </c>
      <c r="J677" s="256">
        <f t="shared" si="63"/>
        <v>0.259078626804709</v>
      </c>
      <c r="L677" s="146"/>
    </row>
    <row r="678" spans="1:12" ht="10.5">
      <c r="A678" s="121" t="str">
        <f>A640</f>
        <v>2014 Adpoted/2014 Revenue Neutral Tax Rate</v>
      </c>
      <c r="E678" s="217">
        <v>0.1</v>
      </c>
      <c r="F678" s="141">
        <v>0.095634</v>
      </c>
      <c r="G678" s="123"/>
      <c r="H678" s="124"/>
      <c r="I678" s="125"/>
      <c r="J678" s="117"/>
      <c r="K678" s="146"/>
      <c r="L678" s="146"/>
    </row>
    <row r="679" spans="1:11" ht="10.5">
      <c r="A679" s="146"/>
      <c r="B679" s="104"/>
      <c r="C679" s="104"/>
      <c r="D679" s="104"/>
      <c r="E679" s="104"/>
      <c r="F679" s="104"/>
      <c r="G679" s="104"/>
      <c r="H679" s="124"/>
      <c r="I679" s="125"/>
      <c r="J679" s="146"/>
      <c r="K679" s="146"/>
    </row>
    <row r="680" spans="1:10" ht="10.5">
      <c r="A680" s="146"/>
      <c r="G680" s="123"/>
      <c r="H680" s="146"/>
      <c r="I680" s="148"/>
      <c r="J680" s="146"/>
    </row>
    <row r="681" spans="1:10" ht="9.75">
      <c r="A681" s="121" t="s">
        <v>62</v>
      </c>
      <c r="H681" s="131">
        <f>(H677*E678)/100</f>
        <v>609603.343</v>
      </c>
      <c r="I681" s="131">
        <f>(I677*F678)/100</f>
        <v>734027.8073436</v>
      </c>
      <c r="J681" s="126">
        <f>(I681-H681)/H681</f>
        <v>0.20410725395841534</v>
      </c>
    </row>
    <row r="682" spans="1:10" ht="9.75">
      <c r="A682" s="121" t="s">
        <v>18</v>
      </c>
      <c r="H682" s="108">
        <f>'2019 Certified Estimate'!H698</f>
        <v>19356902</v>
      </c>
      <c r="I682" s="118">
        <v>18322859</v>
      </c>
      <c r="J682" s="126">
        <f>(I682-H682)/H682</f>
        <v>-0.05341986026482957</v>
      </c>
    </row>
    <row r="683" spans="1:235" s="136" customFormat="1" ht="9.75">
      <c r="A683" s="121" t="s">
        <v>17</v>
      </c>
      <c r="B683" s="9"/>
      <c r="C683" s="9"/>
      <c r="D683" s="9"/>
      <c r="E683" s="9"/>
      <c r="F683" s="9"/>
      <c r="G683" s="9"/>
      <c r="H683" s="108">
        <f>'2019 Certified Estimate'!H699</f>
        <v>32098</v>
      </c>
      <c r="I683" s="118">
        <v>27785</v>
      </c>
      <c r="J683" s="126">
        <f>(I683-H683)/H683</f>
        <v>-0.13436974266309426</v>
      </c>
      <c r="K683" s="9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  <c r="AQ683" s="144"/>
      <c r="AR683" s="144"/>
      <c r="AS683" s="144"/>
      <c r="AT683" s="144"/>
      <c r="AU683" s="144"/>
      <c r="AV683" s="144"/>
      <c r="AW683" s="144"/>
      <c r="AX683" s="144"/>
      <c r="AY683" s="144"/>
      <c r="AZ683" s="144"/>
      <c r="BA683" s="144"/>
      <c r="BB683" s="144"/>
      <c r="BC683" s="144"/>
      <c r="BD683" s="144"/>
      <c r="BE683" s="144"/>
      <c r="BF683" s="144"/>
      <c r="BG683" s="144"/>
      <c r="BH683" s="144"/>
      <c r="BI683" s="144"/>
      <c r="BJ683" s="144"/>
      <c r="BK683" s="144"/>
      <c r="BL683" s="144"/>
      <c r="BM683" s="144"/>
      <c r="BN683" s="144"/>
      <c r="BO683" s="144"/>
      <c r="BP683" s="144"/>
      <c r="BQ683" s="144"/>
      <c r="BR683" s="144"/>
      <c r="BS683" s="144"/>
      <c r="BT683" s="144"/>
      <c r="BU683" s="144"/>
      <c r="BV683" s="144"/>
      <c r="BW683" s="144"/>
      <c r="BX683" s="144"/>
      <c r="BY683" s="144"/>
      <c r="BZ683" s="144"/>
      <c r="CA683" s="144"/>
      <c r="CB683" s="144"/>
      <c r="CC683" s="144"/>
      <c r="CD683" s="144"/>
      <c r="CE683" s="144"/>
      <c r="CF683" s="144"/>
      <c r="CG683" s="144"/>
      <c r="CH683" s="144"/>
      <c r="CI683" s="144"/>
      <c r="CJ683" s="144"/>
      <c r="CK683" s="144"/>
      <c r="CL683" s="144"/>
      <c r="CM683" s="144"/>
      <c r="CN683" s="144"/>
      <c r="CO683" s="144"/>
      <c r="CP683" s="144"/>
      <c r="CQ683" s="144"/>
      <c r="CR683" s="144"/>
      <c r="CS683" s="144"/>
      <c r="CT683" s="144"/>
      <c r="CU683" s="144"/>
      <c r="CV683" s="144"/>
      <c r="CW683" s="144"/>
      <c r="CX683" s="144"/>
      <c r="CY683" s="144"/>
      <c r="CZ683" s="144"/>
      <c r="DA683" s="144"/>
      <c r="DB683" s="144"/>
      <c r="DC683" s="144"/>
      <c r="DD683" s="144"/>
      <c r="DE683" s="144"/>
      <c r="DF683" s="144"/>
      <c r="DG683" s="144"/>
      <c r="DH683" s="144"/>
      <c r="DI683" s="144"/>
      <c r="DJ683" s="144"/>
      <c r="DK683" s="144"/>
      <c r="DL683" s="144"/>
      <c r="DM683" s="144"/>
      <c r="DN683" s="144"/>
      <c r="DO683" s="144"/>
      <c r="DP683" s="144"/>
      <c r="DQ683" s="144"/>
      <c r="DR683" s="144"/>
      <c r="DS683" s="144"/>
      <c r="DT683" s="144"/>
      <c r="DU683" s="144"/>
      <c r="DV683" s="144"/>
      <c r="DW683" s="144"/>
      <c r="DX683" s="144"/>
      <c r="DY683" s="144"/>
      <c r="DZ683" s="144"/>
      <c r="EA683" s="144"/>
      <c r="EB683" s="144"/>
      <c r="EC683" s="144"/>
      <c r="ED683" s="144"/>
      <c r="EE683" s="144"/>
      <c r="EF683" s="144"/>
      <c r="EG683" s="144"/>
      <c r="EH683" s="144"/>
      <c r="EI683" s="144"/>
      <c r="EJ683" s="144"/>
      <c r="EK683" s="144"/>
      <c r="EL683" s="144"/>
      <c r="EM683" s="144"/>
      <c r="EN683" s="144"/>
      <c r="EO683" s="144"/>
      <c r="EP683" s="144"/>
      <c r="EQ683" s="144"/>
      <c r="ER683" s="144"/>
      <c r="ES683" s="144"/>
      <c r="ET683" s="144"/>
      <c r="EU683" s="144"/>
      <c r="EV683" s="144"/>
      <c r="EW683" s="144"/>
      <c r="EX683" s="144"/>
      <c r="EY683" s="144"/>
      <c r="EZ683" s="144"/>
      <c r="FA683" s="144"/>
      <c r="FB683" s="144"/>
      <c r="FC683" s="144"/>
      <c r="FD683" s="144"/>
      <c r="FE683" s="144"/>
      <c r="FF683" s="144"/>
      <c r="FG683" s="144"/>
      <c r="FH683" s="144"/>
      <c r="FI683" s="144"/>
      <c r="FJ683" s="144"/>
      <c r="FK683" s="144"/>
      <c r="FL683" s="144"/>
      <c r="FM683" s="144"/>
      <c r="FN683" s="144"/>
      <c r="FO683" s="144"/>
      <c r="FP683" s="144"/>
      <c r="FQ683" s="144"/>
      <c r="FR683" s="144"/>
      <c r="FS683" s="144"/>
      <c r="FT683" s="144"/>
      <c r="FU683" s="144"/>
      <c r="FV683" s="144"/>
      <c r="FW683" s="144"/>
      <c r="FX683" s="144"/>
      <c r="FY683" s="144"/>
      <c r="FZ683" s="144"/>
      <c r="GA683" s="144"/>
      <c r="GB683" s="144"/>
      <c r="GC683" s="144"/>
      <c r="GD683" s="144"/>
      <c r="GE683" s="144"/>
      <c r="GF683" s="144"/>
      <c r="GG683" s="144"/>
      <c r="GH683" s="144"/>
      <c r="GI683" s="144"/>
      <c r="GJ683" s="144"/>
      <c r="GK683" s="144"/>
      <c r="GL683" s="144"/>
      <c r="GM683" s="144"/>
      <c r="GN683" s="144"/>
      <c r="GO683" s="144"/>
      <c r="GP683" s="144"/>
      <c r="GQ683" s="144"/>
      <c r="GR683" s="144"/>
      <c r="GS683" s="144"/>
      <c r="GT683" s="144"/>
      <c r="GU683" s="144"/>
      <c r="GV683" s="144"/>
      <c r="GW683" s="144"/>
      <c r="GX683" s="144"/>
      <c r="GY683" s="144"/>
      <c r="GZ683" s="144"/>
      <c r="HA683" s="144"/>
      <c r="HB683" s="144"/>
      <c r="HC683" s="144"/>
      <c r="HD683" s="144"/>
      <c r="HE683" s="144"/>
      <c r="HF683" s="144"/>
      <c r="HG683" s="144"/>
      <c r="HH683" s="144"/>
      <c r="HI683" s="144"/>
      <c r="HJ683" s="144"/>
      <c r="HK683" s="144"/>
      <c r="HL683" s="144"/>
      <c r="HM683" s="144"/>
      <c r="HN683" s="144"/>
      <c r="HO683" s="144"/>
      <c r="HP683" s="144"/>
      <c r="HQ683" s="144"/>
      <c r="HR683" s="144"/>
      <c r="HS683" s="144"/>
      <c r="HT683" s="144"/>
      <c r="HU683" s="144"/>
      <c r="HV683" s="144"/>
      <c r="HW683" s="144"/>
      <c r="HX683" s="144"/>
      <c r="HY683" s="144"/>
      <c r="HZ683" s="144"/>
      <c r="IA683" s="144"/>
    </row>
    <row r="684" s="220" customFormat="1" ht="10.5" thickBot="1">
      <c r="K684" s="221"/>
    </row>
    <row r="685" spans="1:11" ht="10.5" thickBot="1">
      <c r="A685" s="267" t="s">
        <v>166</v>
      </c>
      <c r="B685" s="95" t="s">
        <v>32</v>
      </c>
      <c r="C685" s="96"/>
      <c r="D685" s="97"/>
      <c r="E685" s="95" t="s">
        <v>33</v>
      </c>
      <c r="F685" s="96"/>
      <c r="G685" s="97"/>
      <c r="H685" s="95" t="s">
        <v>34</v>
      </c>
      <c r="I685" s="96"/>
      <c r="J685" s="97"/>
      <c r="K685" s="99"/>
    </row>
    <row r="686" spans="1:11" ht="9.75">
      <c r="A686" s="9" t="s">
        <v>35</v>
      </c>
      <c r="B686" s="101" t="s">
        <v>193</v>
      </c>
      <c r="C686" s="102" t="s">
        <v>188</v>
      </c>
      <c r="D686" s="100" t="s">
        <v>67</v>
      </c>
      <c r="E686" s="101" t="str">
        <f>B686</f>
        <v>2013 Certified</v>
      </c>
      <c r="F686" s="102" t="s">
        <v>188</v>
      </c>
      <c r="G686" s="100" t="s">
        <v>67</v>
      </c>
      <c r="H686" s="101" t="s">
        <v>187</v>
      </c>
      <c r="I686" s="102" t="s">
        <v>189</v>
      </c>
      <c r="J686" s="100" t="s">
        <v>67</v>
      </c>
      <c r="K686" s="207" t="s">
        <v>71</v>
      </c>
    </row>
    <row r="687" spans="1:11" ht="9.75">
      <c r="A687" s="94"/>
      <c r="B687" s="103"/>
      <c r="C687" s="104"/>
      <c r="D687" s="105"/>
      <c r="E687" s="103"/>
      <c r="F687" s="104"/>
      <c r="G687" s="105"/>
      <c r="H687" s="103"/>
      <c r="I687" s="104"/>
      <c r="J687" s="105"/>
      <c r="K687" s="106"/>
    </row>
    <row r="688" spans="1:11" ht="9.75">
      <c r="A688" s="9" t="s">
        <v>36</v>
      </c>
      <c r="B688" s="107">
        <v>0</v>
      </c>
      <c r="C688" s="108">
        <v>0</v>
      </c>
      <c r="D688" s="105"/>
      <c r="E688" s="108">
        <f>'2019 Certified Estimate'!E705</f>
        <v>14791830</v>
      </c>
      <c r="F688" s="108">
        <v>13494900</v>
      </c>
      <c r="G688" s="110">
        <f>(F688-E688)/E688</f>
        <v>-0.08767880647627778</v>
      </c>
      <c r="H688" s="107">
        <f aca="true" t="shared" si="64" ref="H688:I698">B688+E688</f>
        <v>14791830</v>
      </c>
      <c r="I688" s="108">
        <f t="shared" si="64"/>
        <v>13494900</v>
      </c>
      <c r="J688" s="110">
        <f aca="true" t="shared" si="65" ref="J688:J715">(I688-H688)/H688</f>
        <v>-0.08767880647627778</v>
      </c>
      <c r="K688" s="111">
        <f>I688/I699</f>
        <v>0.047792849980833135</v>
      </c>
    </row>
    <row r="689" spans="1:11" ht="9.75">
      <c r="A689" s="9" t="s">
        <v>37</v>
      </c>
      <c r="B689" s="107">
        <v>0</v>
      </c>
      <c r="C689" s="108">
        <v>0</v>
      </c>
      <c r="D689" s="105"/>
      <c r="E689" s="108">
        <f>'2019 Certified Estimate'!E706</f>
        <v>0</v>
      </c>
      <c r="F689" s="108">
        <v>0</v>
      </c>
      <c r="G689" s="110">
        <v>0</v>
      </c>
      <c r="H689" s="107">
        <f t="shared" si="64"/>
        <v>0</v>
      </c>
      <c r="I689" s="108">
        <f t="shared" si="64"/>
        <v>0</v>
      </c>
      <c r="J689" s="110">
        <v>0</v>
      </c>
      <c r="K689" s="111">
        <f>I689/I699</f>
        <v>0</v>
      </c>
    </row>
    <row r="690" spans="1:11" ht="9.75">
      <c r="A690" s="9" t="s">
        <v>38</v>
      </c>
      <c r="B690" s="107">
        <v>0</v>
      </c>
      <c r="C690" s="108">
        <v>0</v>
      </c>
      <c r="D690" s="105"/>
      <c r="E690" s="108">
        <f>'2019 Certified Estimate'!E707</f>
        <v>632470</v>
      </c>
      <c r="F690" s="108">
        <v>2037510</v>
      </c>
      <c r="G690" s="110">
        <f aca="true" t="shared" si="66" ref="G690:G699">(F690-E690)/E690</f>
        <v>2.2215124828055086</v>
      </c>
      <c r="H690" s="107">
        <f t="shared" si="64"/>
        <v>632470</v>
      </c>
      <c r="I690" s="108">
        <f t="shared" si="64"/>
        <v>2037510</v>
      </c>
      <c r="J690" s="110">
        <f t="shared" si="65"/>
        <v>2.2215124828055086</v>
      </c>
      <c r="K690" s="111">
        <f>I690/I699</f>
        <v>0.007215941560474499</v>
      </c>
    </row>
    <row r="691" spans="1:11" ht="9.75">
      <c r="A691" s="9" t="s">
        <v>39</v>
      </c>
      <c r="B691" s="107">
        <v>0</v>
      </c>
      <c r="C691" s="108">
        <v>0</v>
      </c>
      <c r="D691" s="105"/>
      <c r="E691" s="108">
        <f>'2019 Certified Estimate'!E708</f>
        <v>137209910</v>
      </c>
      <c r="F691" s="108">
        <v>124760100</v>
      </c>
      <c r="G691" s="110">
        <f t="shared" si="66"/>
        <v>-0.09073550153921098</v>
      </c>
      <c r="H691" s="107">
        <f t="shared" si="64"/>
        <v>137209910</v>
      </c>
      <c r="I691" s="108">
        <f t="shared" si="64"/>
        <v>124760100</v>
      </c>
      <c r="J691" s="110">
        <f t="shared" si="65"/>
        <v>-0.09073550153921098</v>
      </c>
      <c r="K691" s="111">
        <f>I691/I699</f>
        <v>0.44184401091477077</v>
      </c>
    </row>
    <row r="692" spans="1:11" ht="9.75">
      <c r="A692" s="9" t="s">
        <v>40</v>
      </c>
      <c r="B692" s="107">
        <v>0</v>
      </c>
      <c r="C692" s="108">
        <v>0</v>
      </c>
      <c r="D692" s="110"/>
      <c r="E692" s="108">
        <f>'2019 Certified Estimate'!E709</f>
        <v>11810230</v>
      </c>
      <c r="F692" s="108">
        <v>12455310</v>
      </c>
      <c r="G692" s="110">
        <f t="shared" si="66"/>
        <v>0.054620443462997756</v>
      </c>
      <c r="H692" s="107">
        <f t="shared" si="64"/>
        <v>11810230</v>
      </c>
      <c r="I692" s="108">
        <f t="shared" si="64"/>
        <v>12455310</v>
      </c>
      <c r="J692" s="110">
        <f t="shared" si="65"/>
        <v>0.054620443462997756</v>
      </c>
      <c r="K692" s="111">
        <f>I692/I699</f>
        <v>0.044111091026593066</v>
      </c>
    </row>
    <row r="693" spans="1:11" ht="9.75">
      <c r="A693" s="9" t="s">
        <v>41</v>
      </c>
      <c r="B693" s="107">
        <f>'2019 Certified Estimate'!B710</f>
        <v>31258180</v>
      </c>
      <c r="C693" s="109">
        <v>70599050</v>
      </c>
      <c r="D693" s="110">
        <f>(C693-B693)/B693</f>
        <v>1.2585783945194506</v>
      </c>
      <c r="E693" s="108">
        <f>'2019 Certified Estimate'!E710</f>
        <v>0</v>
      </c>
      <c r="F693" s="108">
        <v>0</v>
      </c>
      <c r="G693" s="110">
        <v>0</v>
      </c>
      <c r="H693" s="107">
        <f t="shared" si="64"/>
        <v>31258180</v>
      </c>
      <c r="I693" s="108">
        <f t="shared" si="64"/>
        <v>70599050</v>
      </c>
      <c r="J693" s="110">
        <f t="shared" si="65"/>
        <v>1.2585783945194506</v>
      </c>
      <c r="K693" s="111">
        <f>I693/I699</f>
        <v>0.25002999692026895</v>
      </c>
    </row>
    <row r="694" spans="1:11" ht="9.75">
      <c r="A694" s="9" t="s">
        <v>42</v>
      </c>
      <c r="B694" s="107">
        <f>'2019 Certified Estimate'!B711</f>
        <v>19492040</v>
      </c>
      <c r="C694" s="109">
        <v>9440660</v>
      </c>
      <c r="D694" s="110">
        <f>(C694-B694)/B694</f>
        <v>-0.5156658820728872</v>
      </c>
      <c r="E694" s="108">
        <f>'2019 Certified Estimate'!E711</f>
        <v>10180</v>
      </c>
      <c r="F694" s="108">
        <v>9040</v>
      </c>
      <c r="G694" s="110">
        <f t="shared" si="66"/>
        <v>-0.11198428290766209</v>
      </c>
      <c r="H694" s="107">
        <f t="shared" si="64"/>
        <v>19502220</v>
      </c>
      <c r="I694" s="108">
        <f t="shared" si="64"/>
        <v>9449700</v>
      </c>
      <c r="J694" s="110">
        <f t="shared" si="65"/>
        <v>-0.5154551635659941</v>
      </c>
      <c r="K694" s="111">
        <f>I694/I699</f>
        <v>0.033466575851905454</v>
      </c>
    </row>
    <row r="695" spans="1:11" ht="9.75">
      <c r="A695" s="9" t="s">
        <v>43</v>
      </c>
      <c r="B695" s="107">
        <f>'2019 Certified Estimate'!B712</f>
        <v>37061940</v>
      </c>
      <c r="C695" s="109">
        <v>36813520</v>
      </c>
      <c r="D695" s="110">
        <f>(C695-B695)/B695</f>
        <v>-0.006702833149047243</v>
      </c>
      <c r="E695" s="108">
        <f>'2019 Certified Estimate'!E712</f>
        <v>2955420</v>
      </c>
      <c r="F695" s="108">
        <v>3710670</v>
      </c>
      <c r="G695" s="110">
        <f t="shared" si="66"/>
        <v>0.25554743488235176</v>
      </c>
      <c r="H695" s="107">
        <f t="shared" si="64"/>
        <v>40017360</v>
      </c>
      <c r="I695" s="108">
        <f t="shared" si="64"/>
        <v>40524190</v>
      </c>
      <c r="J695" s="110">
        <f t="shared" si="65"/>
        <v>0.012665253280076446</v>
      </c>
      <c r="K695" s="111">
        <f>I695/I699</f>
        <v>0.14351840571362354</v>
      </c>
    </row>
    <row r="696" spans="1:11" ht="9.75">
      <c r="A696" s="9" t="s">
        <v>44</v>
      </c>
      <c r="B696" s="107">
        <v>0</v>
      </c>
      <c r="C696" s="108">
        <v>0</v>
      </c>
      <c r="D696" s="110"/>
      <c r="E696" s="108">
        <f>'2019 Certified Estimate'!E713</f>
        <v>3480340</v>
      </c>
      <c r="F696" s="108">
        <v>3791630</v>
      </c>
      <c r="G696" s="110">
        <f t="shared" si="66"/>
        <v>0.08944241079894492</v>
      </c>
      <c r="H696" s="107">
        <f t="shared" si="64"/>
        <v>3480340</v>
      </c>
      <c r="I696" s="108">
        <f t="shared" si="64"/>
        <v>3791630</v>
      </c>
      <c r="J696" s="110">
        <f t="shared" si="65"/>
        <v>0.08944241079894492</v>
      </c>
      <c r="K696" s="111">
        <f>I696/I699</f>
        <v>0.013428243541843686</v>
      </c>
    </row>
    <row r="697" spans="1:11" ht="9.75">
      <c r="A697" s="9" t="s">
        <v>45</v>
      </c>
      <c r="B697" s="107">
        <v>0</v>
      </c>
      <c r="C697" s="108">
        <v>0</v>
      </c>
      <c r="D697" s="110"/>
      <c r="E697" s="108">
        <f>'2019 Certified Estimate'!E714</f>
        <v>14480</v>
      </c>
      <c r="F697" s="108">
        <v>12140</v>
      </c>
      <c r="G697" s="110">
        <f t="shared" si="66"/>
        <v>-0.16160220994475138</v>
      </c>
      <c r="H697" s="107">
        <f t="shared" si="64"/>
        <v>14480</v>
      </c>
      <c r="I697" s="108">
        <f t="shared" si="64"/>
        <v>12140</v>
      </c>
      <c r="J697" s="110">
        <f t="shared" si="65"/>
        <v>-0.16160220994475138</v>
      </c>
      <c r="K697" s="111">
        <f>I697/I699</f>
        <v>4.299440520250719E-05</v>
      </c>
    </row>
    <row r="698" spans="1:14" ht="10.5" thickBot="1">
      <c r="A698" s="9" t="s">
        <v>64</v>
      </c>
      <c r="B698" s="107">
        <v>0</v>
      </c>
      <c r="C698" s="108">
        <v>0</v>
      </c>
      <c r="D698" s="110"/>
      <c r="E698" s="108">
        <f>'2019 Certified Estimate'!E715</f>
        <v>6589880</v>
      </c>
      <c r="F698" s="108">
        <v>5237790</v>
      </c>
      <c r="G698" s="110">
        <f t="shared" si="66"/>
        <v>-0.20517672552459226</v>
      </c>
      <c r="H698" s="107">
        <f t="shared" si="64"/>
        <v>6589880</v>
      </c>
      <c r="I698" s="108">
        <f t="shared" si="64"/>
        <v>5237790</v>
      </c>
      <c r="J698" s="110">
        <f t="shared" si="65"/>
        <v>-0.20517672552459226</v>
      </c>
      <c r="K698" s="111">
        <f>I698/I699</f>
        <v>0.01854989008448436</v>
      </c>
      <c r="L698" s="104"/>
      <c r="M698" s="104"/>
      <c r="N698" s="104"/>
    </row>
    <row r="699" spans="1:14" ht="10.5" thickBot="1">
      <c r="A699" s="250" t="s">
        <v>47</v>
      </c>
      <c r="B699" s="259">
        <f>SUM(B688:B698)</f>
        <v>87812160</v>
      </c>
      <c r="C699" s="260">
        <f>SUM(C688:C698)</f>
        <v>116853230</v>
      </c>
      <c r="D699" s="256">
        <v>1</v>
      </c>
      <c r="E699" s="259">
        <f>SUM(E688:E698)</f>
        <v>177494740</v>
      </c>
      <c r="F699" s="260">
        <f>SUM(F688:F698)</f>
        <v>165509090</v>
      </c>
      <c r="G699" s="256">
        <f t="shared" si="66"/>
        <v>-0.06752678980796839</v>
      </c>
      <c r="H699" s="263">
        <f>SUM(H688:H698)</f>
        <v>265306900</v>
      </c>
      <c r="I699" s="255">
        <f>SUM(I688:I698)</f>
        <v>282362320</v>
      </c>
      <c r="J699" s="256">
        <f t="shared" si="65"/>
        <v>0.06428562543982083</v>
      </c>
      <c r="K699" s="261">
        <f>SUM(K688:K698)</f>
        <v>1</v>
      </c>
      <c r="L699" s="104"/>
      <c r="M699" s="104"/>
      <c r="N699" s="104"/>
    </row>
    <row r="700" spans="1:14" ht="9.75">
      <c r="A700" s="113" t="str">
        <f>A92</f>
        <v>Less Minimum Value Loss</v>
      </c>
      <c r="H700" s="108">
        <f>'2019 Certified Estimate'!H717</f>
        <v>0</v>
      </c>
      <c r="I700" s="118">
        <v>0</v>
      </c>
      <c r="J700" s="110">
        <v>0</v>
      </c>
      <c r="L700" s="104"/>
      <c r="M700" s="104"/>
      <c r="N700" s="104"/>
    </row>
    <row r="701" spans="1:14" ht="9.75">
      <c r="A701" s="113" t="s">
        <v>174</v>
      </c>
      <c r="H701" s="108">
        <f>'2019 Certified Estimate'!H718</f>
        <v>-254870</v>
      </c>
      <c r="I701" s="118">
        <v>-271860</v>
      </c>
      <c r="J701" s="110">
        <f t="shared" si="65"/>
        <v>0.06666143524149566</v>
      </c>
      <c r="L701" s="104"/>
      <c r="M701" s="104"/>
      <c r="N701" s="104"/>
    </row>
    <row r="702" spans="1:14" ht="10.5" thickBot="1">
      <c r="A702" s="113" t="s">
        <v>49</v>
      </c>
      <c r="H702" s="108">
        <f>'2019 Certified Estimate'!H719</f>
        <v>-43101020</v>
      </c>
      <c r="I702" s="118">
        <v>-39385450</v>
      </c>
      <c r="J702" s="110">
        <f t="shared" si="65"/>
        <v>-0.08620608050575138</v>
      </c>
      <c r="L702" s="104"/>
      <c r="M702" s="104"/>
      <c r="N702" s="104"/>
    </row>
    <row r="703" spans="1:14" ht="10.5" thickBot="1">
      <c r="A703" s="250" t="s">
        <v>50</v>
      </c>
      <c r="B703" s="253"/>
      <c r="C703" s="253"/>
      <c r="D703" s="253"/>
      <c r="E703" s="253"/>
      <c r="F703" s="253"/>
      <c r="G703" s="253"/>
      <c r="H703" s="254">
        <f>SUM(H699:H702)</f>
        <v>221951010</v>
      </c>
      <c r="I703" s="255">
        <f>SUM(I699:I702)</f>
        <v>242705010</v>
      </c>
      <c r="J703" s="256">
        <f t="shared" si="65"/>
        <v>0.09350712123364521</v>
      </c>
      <c r="L703" s="104"/>
      <c r="M703" s="104"/>
      <c r="N703" s="104"/>
    </row>
    <row r="704" spans="1:14" ht="9.75">
      <c r="A704" s="113" t="s">
        <v>127</v>
      </c>
      <c r="H704" s="108">
        <f>'2019 Certified Estimate'!H721</f>
        <v>-227770</v>
      </c>
      <c r="I704" s="120">
        <v>-189880</v>
      </c>
      <c r="J704" s="110">
        <f t="shared" si="65"/>
        <v>-0.16635202177635333</v>
      </c>
      <c r="L704" s="104"/>
      <c r="M704" s="104"/>
      <c r="N704" s="104"/>
    </row>
    <row r="705" spans="1:14" ht="9.75">
      <c r="A705" s="113" t="s">
        <v>78</v>
      </c>
      <c r="H705" s="108">
        <f>'2019 Certified Estimate'!H722</f>
        <v>0</v>
      </c>
      <c r="I705" s="120">
        <v>-378960</v>
      </c>
      <c r="J705" s="110" t="e">
        <f t="shared" si="65"/>
        <v>#DIV/0!</v>
      </c>
      <c r="L705" s="104"/>
      <c r="M705" s="104"/>
      <c r="N705" s="104"/>
    </row>
    <row r="706" spans="1:14" ht="9.75">
      <c r="A706" s="113" t="s">
        <v>128</v>
      </c>
      <c r="H706" s="108">
        <f>'2019 Certified Estimate'!H723</f>
        <v>0</v>
      </c>
      <c r="I706" s="120">
        <v>0</v>
      </c>
      <c r="J706" s="110">
        <v>0</v>
      </c>
      <c r="L706" s="104"/>
      <c r="M706" s="104"/>
      <c r="N706" s="104"/>
    </row>
    <row r="707" spans="1:14" ht="9.75">
      <c r="A707" s="113" t="s">
        <v>157</v>
      </c>
      <c r="H707" s="108">
        <f>'2019 Certified Estimate'!H724</f>
        <v>-7778910</v>
      </c>
      <c r="I707" s="118">
        <v>-6532410</v>
      </c>
      <c r="J707" s="110">
        <f t="shared" si="65"/>
        <v>-0.16024095920893802</v>
      </c>
      <c r="L707" s="104"/>
      <c r="M707" s="104"/>
      <c r="N707" s="104"/>
    </row>
    <row r="708" spans="1:14" ht="9.75">
      <c r="A708" s="113" t="s">
        <v>53</v>
      </c>
      <c r="H708" s="108">
        <f>'2019 Certified Estimate'!H725</f>
        <v>0</v>
      </c>
      <c r="I708" s="118">
        <v>0</v>
      </c>
      <c r="J708" s="110">
        <v>0</v>
      </c>
      <c r="L708" s="104"/>
      <c r="M708" s="104"/>
      <c r="N708" s="104"/>
    </row>
    <row r="709" spans="1:14" ht="9.75">
      <c r="A709" s="113" t="s">
        <v>54</v>
      </c>
      <c r="H709" s="108">
        <f>'2019 Certified Estimate'!H726</f>
        <v>0</v>
      </c>
      <c r="I709" s="118">
        <v>0</v>
      </c>
      <c r="J709" s="110">
        <v>0</v>
      </c>
      <c r="L709" s="104"/>
      <c r="M709" s="104"/>
      <c r="N709" s="104"/>
    </row>
    <row r="710" spans="1:14" ht="9.75">
      <c r="A710" s="113" t="s">
        <v>55</v>
      </c>
      <c r="H710" s="108">
        <f>'2019 Certified Estimate'!H727</f>
        <v>0</v>
      </c>
      <c r="I710" s="118">
        <v>0</v>
      </c>
      <c r="J710" s="110">
        <v>0</v>
      </c>
      <c r="L710" s="104"/>
      <c r="M710" s="104"/>
      <c r="N710" s="104"/>
    </row>
    <row r="711" spans="1:14" ht="9.75">
      <c r="A711" s="113" t="s">
        <v>56</v>
      </c>
      <c r="H711" s="108">
        <f>'2019 Certified Estimate'!H728</f>
        <v>-2098687</v>
      </c>
      <c r="I711" s="118">
        <v>-1029534</v>
      </c>
      <c r="J711" s="110">
        <f t="shared" si="65"/>
        <v>-0.509438996858512</v>
      </c>
      <c r="L711" s="104"/>
      <c r="M711" s="104"/>
      <c r="N711" s="104"/>
    </row>
    <row r="712" spans="1:14" ht="9.75">
      <c r="A712" s="113" t="s">
        <v>57</v>
      </c>
      <c r="H712" s="108">
        <f>'2019 Certified Estimate'!H729</f>
        <v>-13145884</v>
      </c>
      <c r="I712" s="120">
        <v>-11289434</v>
      </c>
      <c r="J712" s="110">
        <f t="shared" si="65"/>
        <v>-0.14121910706043048</v>
      </c>
      <c r="L712" s="104"/>
      <c r="M712" s="104"/>
      <c r="N712" s="104"/>
    </row>
    <row r="713" spans="1:14" ht="9.75">
      <c r="A713" s="113" t="s">
        <v>58</v>
      </c>
      <c r="H713" s="108">
        <f>'2019 Certified Estimate'!H730</f>
        <v>-1791907</v>
      </c>
      <c r="I713" s="120">
        <v>-1489310</v>
      </c>
      <c r="J713" s="110">
        <f t="shared" si="65"/>
        <v>-0.16886869686875491</v>
      </c>
      <c r="L713" s="104"/>
      <c r="M713" s="104"/>
      <c r="N713" s="104"/>
    </row>
    <row r="714" spans="1:14" ht="10.5" thickBot="1">
      <c r="A714" s="113" t="s">
        <v>59</v>
      </c>
      <c r="H714" s="108">
        <f>'2019 Certified Estimate'!H731</f>
        <v>0</v>
      </c>
      <c r="I714" s="120">
        <v>0</v>
      </c>
      <c r="J714" s="110">
        <v>0</v>
      </c>
      <c r="L714" s="104"/>
      <c r="M714" s="104"/>
      <c r="N714" s="104"/>
    </row>
    <row r="715" spans="1:15" ht="10.5" thickBot="1">
      <c r="A715" s="250" t="s">
        <v>60</v>
      </c>
      <c r="B715" s="253"/>
      <c r="C715" s="253"/>
      <c r="D715" s="253"/>
      <c r="E715" s="253"/>
      <c r="F715" s="253"/>
      <c r="G715" s="253"/>
      <c r="H715" s="254">
        <f>SUM(H703:H714)</f>
        <v>196907852</v>
      </c>
      <c r="I715" s="255">
        <f>SUM(I703:I714)</f>
        <v>221795482</v>
      </c>
      <c r="J715" s="256">
        <f t="shared" si="65"/>
        <v>0.12639226799345715</v>
      </c>
      <c r="L715" s="104"/>
      <c r="M715" s="104"/>
      <c r="N715" s="104"/>
      <c r="O715" s="104"/>
    </row>
    <row r="716" spans="1:15" ht="10.5">
      <c r="A716" s="121" t="str">
        <f>A678</f>
        <v>2014 Adpoted/2014 Revenue Neutral Tax Rate</v>
      </c>
      <c r="E716" s="217">
        <v>0.1</v>
      </c>
      <c r="F716" s="141">
        <v>0.09271</v>
      </c>
      <c r="G716" s="123"/>
      <c r="H716" s="124"/>
      <c r="I716" s="125"/>
      <c r="J716" s="117"/>
      <c r="K716" s="146"/>
      <c r="L716" s="104"/>
      <c r="M716" s="104"/>
      <c r="N716" s="104"/>
      <c r="O716" s="104"/>
    </row>
    <row r="717" spans="1:11" ht="10.5">
      <c r="A717" s="146"/>
      <c r="B717" s="104"/>
      <c r="C717" s="104"/>
      <c r="D717" s="104"/>
      <c r="E717" s="104"/>
      <c r="F717" s="104"/>
      <c r="G717" s="104"/>
      <c r="H717" s="124"/>
      <c r="I717" s="125"/>
      <c r="J717" s="146"/>
      <c r="K717" s="146"/>
    </row>
    <row r="718" spans="1:10" ht="10.5">
      <c r="A718" s="146"/>
      <c r="G718" s="123"/>
      <c r="H718" s="146"/>
      <c r="I718" s="148"/>
      <c r="J718" s="146"/>
    </row>
    <row r="719" spans="1:10" ht="9.75">
      <c r="A719" s="121" t="s">
        <v>62</v>
      </c>
      <c r="H719" s="131">
        <f>(H715*E716)/100</f>
        <v>196907.85199999998</v>
      </c>
      <c r="I719" s="131">
        <f>(I715*F716)/100</f>
        <v>205626.5913622</v>
      </c>
      <c r="J719" s="126">
        <f>(I719-H719)/H719</f>
        <v>0.04427827165673426</v>
      </c>
    </row>
    <row r="720" spans="1:10" ht="9.75">
      <c r="A720" s="121" t="s">
        <v>18</v>
      </c>
      <c r="H720" s="108">
        <f>'2019 Certified Estimate'!H737</f>
        <v>2658814</v>
      </c>
      <c r="I720" s="118">
        <v>2530752</v>
      </c>
      <c r="J720" s="126">
        <f>(I720-H720)/H720</f>
        <v>-0.04816508413149622</v>
      </c>
    </row>
    <row r="721" spans="1:10" ht="9.75">
      <c r="A721" s="121" t="s">
        <v>17</v>
      </c>
      <c r="H721" s="108">
        <f>'2019 Certified Estimate'!H738</f>
        <v>15436</v>
      </c>
      <c r="I721" s="118">
        <v>12262</v>
      </c>
      <c r="J721" s="126">
        <f>(I721-H721)/H721</f>
        <v>-0.20562321845037573</v>
      </c>
    </row>
    <row r="722" spans="1:11" ht="10.5" thickBot="1">
      <c r="A722" s="220"/>
      <c r="B722" s="220"/>
      <c r="C722" s="220"/>
      <c r="D722" s="220"/>
      <c r="E722" s="220"/>
      <c r="F722" s="220"/>
      <c r="G722" s="220"/>
      <c r="H722" s="220"/>
      <c r="I722" s="220"/>
      <c r="J722" s="220"/>
      <c r="K722" s="221"/>
    </row>
    <row r="723" spans="1:11" ht="10.5" thickBot="1">
      <c r="A723" s="267" t="s">
        <v>167</v>
      </c>
      <c r="B723" s="95" t="s">
        <v>32</v>
      </c>
      <c r="C723" s="96"/>
      <c r="D723" s="97"/>
      <c r="E723" s="95" t="s">
        <v>33</v>
      </c>
      <c r="F723" s="96"/>
      <c r="G723" s="97"/>
      <c r="H723" s="95" t="s">
        <v>34</v>
      </c>
      <c r="I723" s="96"/>
      <c r="J723" s="97"/>
      <c r="K723" s="99"/>
    </row>
    <row r="724" spans="1:11" ht="9.75">
      <c r="A724" s="9" t="s">
        <v>35</v>
      </c>
      <c r="B724" s="101" t="s">
        <v>193</v>
      </c>
      <c r="C724" s="102" t="s">
        <v>188</v>
      </c>
      <c r="D724" s="100" t="s">
        <v>67</v>
      </c>
      <c r="E724" s="101" t="str">
        <f>B724</f>
        <v>2013 Certified</v>
      </c>
      <c r="F724" s="102" t="s">
        <v>188</v>
      </c>
      <c r="G724" s="100" t="s">
        <v>67</v>
      </c>
      <c r="H724" s="101" t="s">
        <v>187</v>
      </c>
      <c r="I724" s="102" t="s">
        <v>189</v>
      </c>
      <c r="J724" s="100" t="s">
        <v>67</v>
      </c>
      <c r="K724" s="207" t="s">
        <v>71</v>
      </c>
    </row>
    <row r="725" spans="1:11" ht="9.75">
      <c r="A725" s="94"/>
      <c r="B725" s="103"/>
      <c r="C725" s="104"/>
      <c r="D725" s="105"/>
      <c r="E725" s="103"/>
      <c r="F725" s="104"/>
      <c r="G725" s="105"/>
      <c r="H725" s="103"/>
      <c r="I725" s="104"/>
      <c r="J725" s="105"/>
      <c r="K725" s="106"/>
    </row>
    <row r="726" spans="1:11" ht="9.75">
      <c r="A726" s="9" t="s">
        <v>36</v>
      </c>
      <c r="B726" s="107">
        <v>0</v>
      </c>
      <c r="C726" s="108">
        <v>0</v>
      </c>
      <c r="D726" s="105"/>
      <c r="E726" s="108">
        <f>'2019 Certified Estimate'!E744</f>
        <v>84771130</v>
      </c>
      <c r="F726" s="108">
        <v>79603350</v>
      </c>
      <c r="G726" s="110">
        <f aca="true" t="shared" si="67" ref="G726:G737">(F726-E726)/E726</f>
        <v>-0.06096155613355632</v>
      </c>
      <c r="H726" s="107">
        <f aca="true" t="shared" si="68" ref="H726:I736">B726+E726</f>
        <v>84771130</v>
      </c>
      <c r="I726" s="108">
        <f t="shared" si="68"/>
        <v>79603350</v>
      </c>
      <c r="J726" s="110">
        <f aca="true" t="shared" si="69" ref="J726:J753">(I726-H726)/H726</f>
        <v>-0.06096155613355632</v>
      </c>
      <c r="K726" s="111">
        <f>I726/I737</f>
        <v>0.13895895944787853</v>
      </c>
    </row>
    <row r="727" spans="1:11" ht="9.75">
      <c r="A727" s="9" t="s">
        <v>37</v>
      </c>
      <c r="B727" s="107">
        <v>0</v>
      </c>
      <c r="C727" s="108">
        <v>0</v>
      </c>
      <c r="D727" s="105"/>
      <c r="E727" s="108">
        <f>'2019 Certified Estimate'!E745</f>
        <v>1640950</v>
      </c>
      <c r="F727" s="108">
        <v>984020</v>
      </c>
      <c r="G727" s="110">
        <f t="shared" si="67"/>
        <v>-0.40033517169932054</v>
      </c>
      <c r="H727" s="107">
        <f t="shared" si="68"/>
        <v>1640950</v>
      </c>
      <c r="I727" s="108">
        <f t="shared" si="68"/>
        <v>984020</v>
      </c>
      <c r="J727" s="110">
        <f t="shared" si="69"/>
        <v>-0.40033517169932054</v>
      </c>
      <c r="K727" s="111">
        <f>I727/I737</f>
        <v>0.001717746744023982</v>
      </c>
    </row>
    <row r="728" spans="1:11" ht="9.75">
      <c r="A728" s="9" t="s">
        <v>38</v>
      </c>
      <c r="B728" s="107">
        <v>0</v>
      </c>
      <c r="C728" s="108">
        <v>0</v>
      </c>
      <c r="D728" s="105"/>
      <c r="E728" s="108">
        <f>'2019 Certified Estimate'!E746</f>
        <v>4400620</v>
      </c>
      <c r="F728" s="108">
        <v>6933980</v>
      </c>
      <c r="G728" s="110">
        <f t="shared" si="67"/>
        <v>0.5756825174634483</v>
      </c>
      <c r="H728" s="107">
        <f t="shared" si="68"/>
        <v>4400620</v>
      </c>
      <c r="I728" s="108">
        <f t="shared" si="68"/>
        <v>6933980</v>
      </c>
      <c r="J728" s="110">
        <f t="shared" si="69"/>
        <v>0.5756825174634483</v>
      </c>
      <c r="K728" s="111">
        <f>I728/I737</f>
        <v>0.01210424744225464</v>
      </c>
    </row>
    <row r="729" spans="1:11" ht="9.75">
      <c r="A729" s="9" t="s">
        <v>39</v>
      </c>
      <c r="B729" s="107">
        <v>0</v>
      </c>
      <c r="C729" s="108">
        <v>0</v>
      </c>
      <c r="D729" s="105"/>
      <c r="E729" s="108">
        <f>'2019 Certified Estimate'!E747</f>
        <v>185444530</v>
      </c>
      <c r="F729" s="108">
        <v>167555350</v>
      </c>
      <c r="G729" s="110">
        <f t="shared" si="67"/>
        <v>-0.09646647436837312</v>
      </c>
      <c r="H729" s="107">
        <f t="shared" si="68"/>
        <v>185444530</v>
      </c>
      <c r="I729" s="108">
        <f t="shared" si="68"/>
        <v>167555350</v>
      </c>
      <c r="J729" s="110">
        <f t="shared" si="69"/>
        <v>-0.09646647436837312</v>
      </c>
      <c r="K729" s="111">
        <f>I729/I737</f>
        <v>0.2924916738544935</v>
      </c>
    </row>
    <row r="730" spans="1:11" ht="9.75">
      <c r="A730" s="9" t="s">
        <v>40</v>
      </c>
      <c r="B730" s="107">
        <v>0</v>
      </c>
      <c r="C730" s="108">
        <v>0</v>
      </c>
      <c r="D730" s="110"/>
      <c r="E730" s="108">
        <f>'2019 Certified Estimate'!E748</f>
        <v>19621050</v>
      </c>
      <c r="F730" s="108">
        <v>57052710</v>
      </c>
      <c r="G730" s="110">
        <f t="shared" si="67"/>
        <v>1.9077297086547356</v>
      </c>
      <c r="H730" s="107">
        <f t="shared" si="68"/>
        <v>19621050</v>
      </c>
      <c r="I730" s="108">
        <f t="shared" si="68"/>
        <v>57052710</v>
      </c>
      <c r="J730" s="110">
        <f t="shared" si="69"/>
        <v>1.9077297086547356</v>
      </c>
      <c r="K730" s="111">
        <f>I730/I737</f>
        <v>0.09959361277234657</v>
      </c>
    </row>
    <row r="731" spans="1:11" ht="9.75">
      <c r="A731" s="9" t="s">
        <v>41</v>
      </c>
      <c r="B731" s="107">
        <f>'2019 Certified Estimate'!B749</f>
        <v>38779080</v>
      </c>
      <c r="C731" s="109">
        <v>80050060</v>
      </c>
      <c r="D731" s="110">
        <f>(C731-B731)/B731</f>
        <v>1.0642588735988578</v>
      </c>
      <c r="E731" s="108">
        <f>'2019 Certified Estimate'!E749</f>
        <v>0</v>
      </c>
      <c r="F731" s="108">
        <v>0</v>
      </c>
      <c r="G731" s="110">
        <v>0</v>
      </c>
      <c r="H731" s="107">
        <f t="shared" si="68"/>
        <v>38779080</v>
      </c>
      <c r="I731" s="108">
        <f t="shared" si="68"/>
        <v>80050060</v>
      </c>
      <c r="J731" s="110">
        <f t="shared" si="69"/>
        <v>1.0642588735988578</v>
      </c>
      <c r="K731" s="111">
        <f>I731/I737</f>
        <v>0.1397387552325404</v>
      </c>
    </row>
    <row r="732" spans="1:11" ht="9.75">
      <c r="A732" s="9" t="s">
        <v>42</v>
      </c>
      <c r="B732" s="107">
        <f>'2019 Certified Estimate'!B750</f>
        <v>51605600</v>
      </c>
      <c r="C732" s="109">
        <v>24501120</v>
      </c>
      <c r="D732" s="110">
        <f>(C732-B732)/B732</f>
        <v>-0.5252236191421086</v>
      </c>
      <c r="E732" s="108">
        <f>'2019 Certified Estimate'!E750</f>
        <v>533030</v>
      </c>
      <c r="F732" s="108">
        <v>545620</v>
      </c>
      <c r="G732" s="110">
        <f t="shared" si="67"/>
        <v>0.02361968369510159</v>
      </c>
      <c r="H732" s="107">
        <f t="shared" si="68"/>
        <v>52138630</v>
      </c>
      <c r="I732" s="108">
        <f t="shared" si="68"/>
        <v>25046740</v>
      </c>
      <c r="J732" s="110">
        <f t="shared" si="69"/>
        <v>-0.5196126173625966</v>
      </c>
      <c r="K732" s="111">
        <f>I732/I737</f>
        <v>0.04372264393347211</v>
      </c>
    </row>
    <row r="733" spans="1:11" ht="9.75">
      <c r="A733" s="9" t="s">
        <v>43</v>
      </c>
      <c r="B733" s="107">
        <f>'2019 Certified Estimate'!B751</f>
        <v>180243900</v>
      </c>
      <c r="C733" s="109">
        <v>132705580</v>
      </c>
      <c r="D733" s="110">
        <f>(C733-B733)/B733</f>
        <v>-0.26374440411020844</v>
      </c>
      <c r="E733" s="108">
        <f>'2019 Certified Estimate'!E751</f>
        <v>7647890</v>
      </c>
      <c r="F733" s="108">
        <v>3840360</v>
      </c>
      <c r="G733" s="110">
        <f t="shared" si="67"/>
        <v>-0.4978536563679655</v>
      </c>
      <c r="H733" s="107">
        <f t="shared" si="68"/>
        <v>187891790</v>
      </c>
      <c r="I733" s="108">
        <f t="shared" si="68"/>
        <v>136545940</v>
      </c>
      <c r="J733" s="110">
        <f t="shared" si="69"/>
        <v>-0.2732735155697862</v>
      </c>
      <c r="K733" s="111">
        <f>I733/I737</f>
        <v>0.23836034211163798</v>
      </c>
    </row>
    <row r="734" spans="1:11" ht="9.75">
      <c r="A734" s="9" t="s">
        <v>44</v>
      </c>
      <c r="B734" s="107">
        <v>0</v>
      </c>
      <c r="C734" s="108"/>
      <c r="D734" s="110"/>
      <c r="E734" s="108">
        <f>'2019 Certified Estimate'!E752</f>
        <v>6056060</v>
      </c>
      <c r="F734" s="108">
        <v>5809140</v>
      </c>
      <c r="G734" s="110">
        <f t="shared" si="67"/>
        <v>-0.04077238336476191</v>
      </c>
      <c r="H734" s="107">
        <f t="shared" si="68"/>
        <v>6056060</v>
      </c>
      <c r="I734" s="108">
        <f t="shared" si="68"/>
        <v>5809140</v>
      </c>
      <c r="J734" s="110">
        <f t="shared" si="69"/>
        <v>-0.04077238336476191</v>
      </c>
      <c r="K734" s="111">
        <f>I734/I737</f>
        <v>0.010140679377024323</v>
      </c>
    </row>
    <row r="735" spans="1:11" ht="9.75">
      <c r="A735" s="9" t="s">
        <v>45</v>
      </c>
      <c r="B735" s="107">
        <v>0</v>
      </c>
      <c r="C735" s="108"/>
      <c r="D735" s="110"/>
      <c r="E735" s="108">
        <f>'2019 Certified Estimate'!E753</f>
        <v>0</v>
      </c>
      <c r="F735" s="108">
        <v>0</v>
      </c>
      <c r="G735" s="110">
        <v>0</v>
      </c>
      <c r="H735" s="107">
        <f t="shared" si="68"/>
        <v>0</v>
      </c>
      <c r="I735" s="108">
        <f t="shared" si="68"/>
        <v>0</v>
      </c>
      <c r="J735" s="110">
        <v>0</v>
      </c>
      <c r="K735" s="111">
        <f>I735/I737</f>
        <v>0</v>
      </c>
    </row>
    <row r="736" spans="1:11" ht="10.5" thickBot="1">
      <c r="A736" s="9" t="s">
        <v>64</v>
      </c>
      <c r="B736" s="107">
        <v>0</v>
      </c>
      <c r="C736" s="108">
        <v>0</v>
      </c>
      <c r="D736" s="110"/>
      <c r="E736" s="108">
        <f>'2019 Certified Estimate'!E754</f>
        <v>14381800</v>
      </c>
      <c r="F736" s="108">
        <v>13273820</v>
      </c>
      <c r="G736" s="110">
        <f t="shared" si="67"/>
        <v>-0.07704042609409115</v>
      </c>
      <c r="H736" s="107">
        <f t="shared" si="68"/>
        <v>14381800</v>
      </c>
      <c r="I736" s="108">
        <f t="shared" si="68"/>
        <v>13273820</v>
      </c>
      <c r="J736" s="110">
        <f t="shared" si="69"/>
        <v>-0.07704042609409115</v>
      </c>
      <c r="K736" s="111">
        <f>I736/I737</f>
        <v>0.023171339084327974</v>
      </c>
    </row>
    <row r="737" spans="1:11" ht="10.5" thickBot="1">
      <c r="A737" s="250" t="s">
        <v>47</v>
      </c>
      <c r="B737" s="259">
        <f>SUM(B726:B736)</f>
        <v>270628580</v>
      </c>
      <c r="C737" s="260">
        <f>SUM(C726:C736)</f>
        <v>237256760</v>
      </c>
      <c r="D737" s="256">
        <f>(C737-B737)/B737</f>
        <v>-0.12331225327347171</v>
      </c>
      <c r="E737" s="259">
        <f>SUM(E726:E736)</f>
        <v>324497060</v>
      </c>
      <c r="F737" s="260">
        <f>SUM(F726:F736)</f>
        <v>335598350</v>
      </c>
      <c r="G737" s="256">
        <f t="shared" si="67"/>
        <v>0.03421075679391363</v>
      </c>
      <c r="H737" s="263">
        <f>SUM(H726:H736)</f>
        <v>595125640</v>
      </c>
      <c r="I737" s="255">
        <f>SUM(I726:I736)</f>
        <v>572855110</v>
      </c>
      <c r="J737" s="256">
        <f t="shared" si="69"/>
        <v>-0.03742156026078796</v>
      </c>
      <c r="K737" s="261">
        <f>SUM(K726:K736)</f>
        <v>1</v>
      </c>
    </row>
    <row r="738" spans="1:11" ht="9.75">
      <c r="A738" s="121" t="str">
        <f>A130</f>
        <v>Less Minimum Value Loss</v>
      </c>
      <c r="B738" s="104"/>
      <c r="C738" s="104"/>
      <c r="D738" s="104"/>
      <c r="E738" s="104"/>
      <c r="F738" s="104"/>
      <c r="G738" s="104"/>
      <c r="H738" s="108">
        <f>'2019 Certified Estimate'!H756</f>
        <v>0</v>
      </c>
      <c r="I738" s="109">
        <v>0</v>
      </c>
      <c r="J738" s="110">
        <v>0</v>
      </c>
      <c r="K738" s="104"/>
    </row>
    <row r="739" spans="1:10" ht="9.75">
      <c r="A739" s="113" t="s">
        <v>174</v>
      </c>
      <c r="H739" s="108">
        <f>'2019 Certified Estimate'!H757</f>
        <v>-477750</v>
      </c>
      <c r="I739" s="118">
        <v>-648570</v>
      </c>
      <c r="J739" s="110">
        <f t="shared" si="69"/>
        <v>0.3575510204081633</v>
      </c>
    </row>
    <row r="740" spans="1:10" ht="10.5" thickBot="1">
      <c r="A740" s="113" t="s">
        <v>49</v>
      </c>
      <c r="H740" s="108">
        <f>'2019 Certified Estimate'!H758</f>
        <v>-69184130</v>
      </c>
      <c r="I740" s="118">
        <v>-63691620</v>
      </c>
      <c r="J740" s="110">
        <f t="shared" si="69"/>
        <v>-0.07938973865827322</v>
      </c>
    </row>
    <row r="741" spans="1:10" ht="10.5" thickBot="1">
      <c r="A741" s="250" t="s">
        <v>50</v>
      </c>
      <c r="B741" s="253"/>
      <c r="C741" s="253"/>
      <c r="D741" s="253"/>
      <c r="E741" s="253"/>
      <c r="F741" s="253"/>
      <c r="G741" s="253"/>
      <c r="H741" s="254">
        <f>SUM(H737:H740)</f>
        <v>525463760</v>
      </c>
      <c r="I741" s="255">
        <f>SUM(I737:I740)</f>
        <v>508514920</v>
      </c>
      <c r="J741" s="256">
        <f t="shared" si="69"/>
        <v>-0.03225501222006252</v>
      </c>
    </row>
    <row r="742" spans="1:10" ht="9.75">
      <c r="A742" s="113" t="s">
        <v>127</v>
      </c>
      <c r="H742" s="108">
        <f>'2019 Certified Estimate'!H760</f>
        <v>-387550</v>
      </c>
      <c r="I742" s="120">
        <v>-290060</v>
      </c>
      <c r="J742" s="110">
        <f t="shared" si="69"/>
        <v>-0.2515546381112115</v>
      </c>
    </row>
    <row r="743" spans="1:10" ht="9.75">
      <c r="A743" s="113" t="s">
        <v>78</v>
      </c>
      <c r="H743" s="108">
        <f>'2019 Certified Estimate'!H761</f>
        <v>-137350</v>
      </c>
      <c r="I743" s="120">
        <v>-13230</v>
      </c>
      <c r="J743" s="110">
        <f t="shared" si="69"/>
        <v>-0.9036767382599199</v>
      </c>
    </row>
    <row r="744" spans="1:10" ht="9.75">
      <c r="A744" s="113" t="s">
        <v>128</v>
      </c>
      <c r="H744" s="108">
        <f>'2019 Certified Estimate'!H762</f>
        <v>0</v>
      </c>
      <c r="I744" s="120">
        <v>0</v>
      </c>
      <c r="J744" s="110">
        <v>0</v>
      </c>
    </row>
    <row r="745" spans="1:10" ht="9.75">
      <c r="A745" s="113" t="s">
        <v>157</v>
      </c>
      <c r="H745" s="108">
        <f>'2019 Certified Estimate'!H763</f>
        <v>-14656520</v>
      </c>
      <c r="I745" s="118">
        <v>-13665371</v>
      </c>
      <c r="J745" s="110">
        <f t="shared" si="69"/>
        <v>-0.06762512520025217</v>
      </c>
    </row>
    <row r="746" spans="1:10" ht="9.75">
      <c r="A746" s="113" t="s">
        <v>53</v>
      </c>
      <c r="H746" s="108">
        <f>'2019 Certified Estimate'!H764</f>
        <v>0</v>
      </c>
      <c r="I746" s="118">
        <v>0</v>
      </c>
      <c r="J746" s="110">
        <v>0</v>
      </c>
    </row>
    <row r="747" spans="1:10" ht="9.75">
      <c r="A747" s="113" t="s">
        <v>54</v>
      </c>
      <c r="H747" s="108">
        <f>'2019 Certified Estimate'!H765</f>
        <v>0</v>
      </c>
      <c r="I747" s="118">
        <v>0</v>
      </c>
      <c r="J747" s="110">
        <v>0</v>
      </c>
    </row>
    <row r="748" spans="1:10" ht="9.75">
      <c r="A748" s="113" t="s">
        <v>55</v>
      </c>
      <c r="H748" s="108">
        <f>'2019 Certified Estimate'!H766</f>
        <v>0</v>
      </c>
      <c r="I748" s="118">
        <v>0</v>
      </c>
      <c r="J748" s="110">
        <v>0</v>
      </c>
    </row>
    <row r="749" spans="1:10" ht="9.75">
      <c r="A749" s="113" t="s">
        <v>56</v>
      </c>
      <c r="H749" s="108">
        <f>'2019 Certified Estimate'!H767</f>
        <v>-2825790</v>
      </c>
      <c r="I749" s="118">
        <v>-2126922</v>
      </c>
      <c r="J749" s="110">
        <f t="shared" si="69"/>
        <v>-0.24731774123342498</v>
      </c>
    </row>
    <row r="750" spans="1:10" ht="9.75">
      <c r="A750" s="113" t="s">
        <v>57</v>
      </c>
      <c r="H750" s="108">
        <f>'2019 Certified Estimate'!H768</f>
        <v>-22974794</v>
      </c>
      <c r="I750" s="120">
        <v>-21973792</v>
      </c>
      <c r="J750" s="110">
        <f t="shared" si="69"/>
        <v>-0.043569574552006864</v>
      </c>
    </row>
    <row r="751" spans="1:10" ht="9.75">
      <c r="A751" s="113" t="s">
        <v>58</v>
      </c>
      <c r="H751" s="108">
        <f>'2019 Certified Estimate'!H769</f>
        <v>-3554780</v>
      </c>
      <c r="I751" s="120">
        <v>-3181841</v>
      </c>
      <c r="J751" s="110">
        <f t="shared" si="69"/>
        <v>-0.10491197767513039</v>
      </c>
    </row>
    <row r="752" spans="1:10" ht="10.5" thickBot="1">
      <c r="A752" s="113" t="s">
        <v>59</v>
      </c>
      <c r="H752" s="108">
        <f>'2019 Certified Estimate'!H770</f>
        <v>0</v>
      </c>
      <c r="I752" s="120">
        <v>0</v>
      </c>
      <c r="J752" s="110">
        <v>0</v>
      </c>
    </row>
    <row r="753" spans="1:10" ht="10.5" thickBot="1">
      <c r="A753" s="250" t="s">
        <v>60</v>
      </c>
      <c r="B753" s="253"/>
      <c r="C753" s="253"/>
      <c r="D753" s="253"/>
      <c r="E753" s="253"/>
      <c r="F753" s="253"/>
      <c r="G753" s="253"/>
      <c r="H753" s="254">
        <f>SUM(H741:H752)</f>
        <v>480926976</v>
      </c>
      <c r="I753" s="255">
        <f>SUM(I741:I752)</f>
        <v>467263704</v>
      </c>
      <c r="J753" s="256">
        <f t="shared" si="69"/>
        <v>-0.02841028405942444</v>
      </c>
    </row>
    <row r="754" spans="1:11" ht="10.5">
      <c r="A754" s="121" t="str">
        <f>A716</f>
        <v>2014 Adpoted/2014 Revenue Neutral Tax Rate</v>
      </c>
      <c r="E754" s="217">
        <v>0.098578</v>
      </c>
      <c r="F754" s="141">
        <v>0.111465</v>
      </c>
      <c r="G754" s="123"/>
      <c r="H754" s="124"/>
      <c r="I754" s="125"/>
      <c r="J754" s="117"/>
      <c r="K754" s="146"/>
    </row>
    <row r="755" spans="1:11" ht="10.5">
      <c r="A755" s="146"/>
      <c r="B755" s="104"/>
      <c r="C755" s="104"/>
      <c r="D755" s="104"/>
      <c r="E755" s="104"/>
      <c r="F755" s="104"/>
      <c r="G755" s="104"/>
      <c r="H755" s="124"/>
      <c r="I755" s="125"/>
      <c r="J755" s="146"/>
      <c r="K755" s="146"/>
    </row>
    <row r="756" spans="1:10" ht="10.5">
      <c r="A756" s="146"/>
      <c r="G756" s="123"/>
      <c r="H756" s="146"/>
      <c r="I756" s="148"/>
      <c r="J756" s="146"/>
    </row>
    <row r="757" spans="1:10" ht="9.75">
      <c r="A757" s="121" t="s">
        <v>62</v>
      </c>
      <c r="H757" s="131">
        <f>(H753*E754)/100</f>
        <v>474088.19440127996</v>
      </c>
      <c r="I757" s="131">
        <f>(I753*F754)/100</f>
        <v>520835.4876636</v>
      </c>
      <c r="J757" s="126">
        <f>(I757-H757)/H757</f>
        <v>0.09860463477973042</v>
      </c>
    </row>
    <row r="758" spans="1:10" ht="9.75">
      <c r="A758" s="121" t="s">
        <v>18</v>
      </c>
      <c r="H758" s="108">
        <f>'2019 Certified Estimate'!H776</f>
        <v>2720738</v>
      </c>
      <c r="I758" s="118">
        <v>7586634</v>
      </c>
      <c r="J758" s="126">
        <f>(I758-H758)/H758</f>
        <v>1.788447105160438</v>
      </c>
    </row>
    <row r="759" spans="1:10" ht="9.75">
      <c r="A759" s="121" t="s">
        <v>17</v>
      </c>
      <c r="H759" s="108">
        <f>'2019 Certified Estimate'!H777</f>
        <v>29099</v>
      </c>
      <c r="I759" s="118">
        <v>18842</v>
      </c>
      <c r="J759" s="126">
        <f>(I759-H759)/H759</f>
        <v>-0.3524863397367607</v>
      </c>
    </row>
    <row r="760" spans="1:11" ht="10.5" thickBot="1">
      <c r="A760" s="220"/>
      <c r="B760" s="220"/>
      <c r="C760" s="220"/>
      <c r="D760" s="220"/>
      <c r="E760" s="220"/>
      <c r="F760" s="220"/>
      <c r="G760" s="220"/>
      <c r="H760" s="220"/>
      <c r="I760" s="220"/>
      <c r="J760" s="220"/>
      <c r="K760" s="221"/>
    </row>
    <row r="761" spans="1:11" ht="10.5" thickBot="1">
      <c r="A761" s="267" t="s">
        <v>168</v>
      </c>
      <c r="B761" s="95" t="s">
        <v>32</v>
      </c>
      <c r="C761" s="96"/>
      <c r="D761" s="97"/>
      <c r="E761" s="95" t="s">
        <v>33</v>
      </c>
      <c r="F761" s="96"/>
      <c r="G761" s="97"/>
      <c r="H761" s="95" t="s">
        <v>34</v>
      </c>
      <c r="I761" s="96"/>
      <c r="J761" s="97"/>
      <c r="K761" s="99"/>
    </row>
    <row r="762" spans="1:11" ht="9.75">
      <c r="A762" s="9" t="s">
        <v>35</v>
      </c>
      <c r="B762" s="101" t="s">
        <v>193</v>
      </c>
      <c r="C762" s="102" t="s">
        <v>188</v>
      </c>
      <c r="D762" s="100" t="s">
        <v>67</v>
      </c>
      <c r="E762" s="101" t="str">
        <f>B762</f>
        <v>2013 Certified</v>
      </c>
      <c r="F762" s="102" t="s">
        <v>188</v>
      </c>
      <c r="G762" s="100" t="s">
        <v>67</v>
      </c>
      <c r="H762" s="101" t="s">
        <v>187</v>
      </c>
      <c r="I762" s="102" t="s">
        <v>189</v>
      </c>
      <c r="J762" s="100" t="s">
        <v>67</v>
      </c>
      <c r="K762" s="207" t="s">
        <v>71</v>
      </c>
    </row>
    <row r="763" spans="1:11" ht="9.75">
      <c r="A763" s="94"/>
      <c r="B763" s="103"/>
      <c r="C763" s="104"/>
      <c r="D763" s="105"/>
      <c r="E763" s="103"/>
      <c r="F763" s="104"/>
      <c r="G763" s="105"/>
      <c r="H763" s="103"/>
      <c r="I763" s="104"/>
      <c r="J763" s="105"/>
      <c r="K763" s="106"/>
    </row>
    <row r="764" spans="1:11" ht="9.75">
      <c r="A764" s="9" t="s">
        <v>36</v>
      </c>
      <c r="B764" s="107">
        <v>0</v>
      </c>
      <c r="C764" s="108">
        <v>0</v>
      </c>
      <c r="D764" s="105"/>
      <c r="E764" s="108">
        <f>'2019 Certified Estimate'!E783</f>
        <v>14931060</v>
      </c>
      <c r="F764" s="108">
        <v>13449690</v>
      </c>
      <c r="G764" s="110">
        <f aca="true" t="shared" si="70" ref="G764:G775">(F764-E764)/E764</f>
        <v>-0.0992139874864879</v>
      </c>
      <c r="H764" s="107">
        <f aca="true" t="shared" si="71" ref="H764:I774">B764+E764</f>
        <v>14931060</v>
      </c>
      <c r="I764" s="108">
        <f t="shared" si="71"/>
        <v>13449690</v>
      </c>
      <c r="J764" s="110">
        <f aca="true" t="shared" si="72" ref="J764:J791">(I764-H764)/H764</f>
        <v>-0.0992139874864879</v>
      </c>
      <c r="K764" s="111">
        <f>I764/I775</f>
        <v>0.043937192475440257</v>
      </c>
    </row>
    <row r="765" spans="1:11" ht="9.75">
      <c r="A765" s="9" t="s">
        <v>37</v>
      </c>
      <c r="B765" s="107">
        <v>0</v>
      </c>
      <c r="C765" s="108">
        <v>0</v>
      </c>
      <c r="D765" s="105"/>
      <c r="E765" s="108">
        <f>'2019 Certified Estimate'!E784</f>
        <v>0</v>
      </c>
      <c r="F765" s="108">
        <v>0</v>
      </c>
      <c r="G765" s="110">
        <v>0</v>
      </c>
      <c r="H765" s="107">
        <f t="shared" si="71"/>
        <v>0</v>
      </c>
      <c r="I765" s="108">
        <f t="shared" si="71"/>
        <v>0</v>
      </c>
      <c r="J765" s="110">
        <v>0</v>
      </c>
      <c r="K765" s="111">
        <f>I765/I775</f>
        <v>0</v>
      </c>
    </row>
    <row r="766" spans="1:11" ht="9.75">
      <c r="A766" s="9" t="s">
        <v>38</v>
      </c>
      <c r="B766" s="107">
        <v>0</v>
      </c>
      <c r="C766" s="108">
        <v>0</v>
      </c>
      <c r="D766" s="105"/>
      <c r="E766" s="108">
        <f>'2019 Certified Estimate'!E785</f>
        <v>2482740</v>
      </c>
      <c r="F766" s="108">
        <v>3782530</v>
      </c>
      <c r="G766" s="110">
        <f t="shared" si="70"/>
        <v>0.5235304542561847</v>
      </c>
      <c r="H766" s="107">
        <f t="shared" si="71"/>
        <v>2482740</v>
      </c>
      <c r="I766" s="108">
        <f t="shared" si="71"/>
        <v>3782530</v>
      </c>
      <c r="J766" s="110">
        <f t="shared" si="72"/>
        <v>0.5235304542561847</v>
      </c>
      <c r="K766" s="111">
        <f>I766/I775</f>
        <v>0.012356697340542944</v>
      </c>
    </row>
    <row r="767" spans="1:11" ht="9.75">
      <c r="A767" s="9" t="s">
        <v>39</v>
      </c>
      <c r="B767" s="107">
        <v>0</v>
      </c>
      <c r="C767" s="108">
        <v>0</v>
      </c>
      <c r="D767" s="105"/>
      <c r="E767" s="108">
        <f>'2019 Certified Estimate'!E786</f>
        <v>248216030</v>
      </c>
      <c r="F767" s="108">
        <v>224376600</v>
      </c>
      <c r="G767" s="110">
        <f t="shared" si="70"/>
        <v>-0.09604307183544915</v>
      </c>
      <c r="H767" s="107">
        <f t="shared" si="71"/>
        <v>248216030</v>
      </c>
      <c r="I767" s="108">
        <f t="shared" si="71"/>
        <v>224376600</v>
      </c>
      <c r="J767" s="110">
        <f t="shared" si="72"/>
        <v>-0.09604307183544915</v>
      </c>
      <c r="K767" s="111">
        <f>I767/I775</f>
        <v>0.7329892258620733</v>
      </c>
    </row>
    <row r="768" spans="1:11" ht="9.75">
      <c r="A768" s="9" t="s">
        <v>40</v>
      </c>
      <c r="B768" s="107">
        <v>0</v>
      </c>
      <c r="C768" s="108">
        <v>0</v>
      </c>
      <c r="D768" s="110"/>
      <c r="E768" s="108">
        <f>'2019 Certified Estimate'!E787</f>
        <v>3156880</v>
      </c>
      <c r="F768" s="108">
        <v>3654820</v>
      </c>
      <c r="G768" s="110">
        <f t="shared" si="70"/>
        <v>0.15773168444793595</v>
      </c>
      <c r="H768" s="107">
        <f t="shared" si="71"/>
        <v>3156880</v>
      </c>
      <c r="I768" s="108">
        <f t="shared" si="71"/>
        <v>3654820</v>
      </c>
      <c r="J768" s="110">
        <f t="shared" si="72"/>
        <v>0.15773168444793595</v>
      </c>
      <c r="K768" s="111">
        <f>I768/I775</f>
        <v>0.011939496732124574</v>
      </c>
    </row>
    <row r="769" spans="1:11" ht="9.75">
      <c r="A769" s="9" t="s">
        <v>41</v>
      </c>
      <c r="B769" s="107">
        <f>'2019 Certified Estimate'!B788</f>
        <v>10092400</v>
      </c>
      <c r="C769" s="109">
        <v>27967990</v>
      </c>
      <c r="D769" s="110">
        <f>(C769-B769)/B769</f>
        <v>1.7711931750624232</v>
      </c>
      <c r="E769" s="108">
        <f>'2019 Certified Estimate'!E788</f>
        <v>0</v>
      </c>
      <c r="F769" s="108">
        <v>0</v>
      </c>
      <c r="G769" s="110">
        <v>0</v>
      </c>
      <c r="H769" s="107">
        <f t="shared" si="71"/>
        <v>10092400</v>
      </c>
      <c r="I769" s="108">
        <f t="shared" si="71"/>
        <v>27967990</v>
      </c>
      <c r="J769" s="110">
        <f t="shared" si="72"/>
        <v>1.7711931750624232</v>
      </c>
      <c r="K769" s="111">
        <f>I769/I775</f>
        <v>0.09136529985309612</v>
      </c>
    </row>
    <row r="770" spans="1:11" ht="9.75">
      <c r="A770" s="9" t="s">
        <v>42</v>
      </c>
      <c r="B770" s="107">
        <f>'2019 Certified Estimate'!B789</f>
        <v>20480110</v>
      </c>
      <c r="C770" s="109">
        <v>15598910</v>
      </c>
      <c r="D770" s="110">
        <f>(C770-B770)/B770</f>
        <v>-0.2383385636112306</v>
      </c>
      <c r="E770" s="108">
        <f>'2019 Certified Estimate'!E789</f>
        <v>53520</v>
      </c>
      <c r="F770" s="108">
        <v>51490</v>
      </c>
      <c r="G770" s="110">
        <f t="shared" si="70"/>
        <v>-0.03792974588938715</v>
      </c>
      <c r="H770" s="107">
        <f t="shared" si="71"/>
        <v>20533630</v>
      </c>
      <c r="I770" s="108">
        <f t="shared" si="71"/>
        <v>15650400</v>
      </c>
      <c r="J770" s="110">
        <f t="shared" si="72"/>
        <v>-0.2378162068762318</v>
      </c>
      <c r="K770" s="111">
        <f>I770/I775</f>
        <v>0.05112643020899591</v>
      </c>
    </row>
    <row r="771" spans="1:11" ht="9.75">
      <c r="A771" s="9" t="s">
        <v>43</v>
      </c>
      <c r="B771" s="107">
        <f>'2019 Certified Estimate'!B790</f>
        <v>1730270</v>
      </c>
      <c r="C771" s="109">
        <v>1066640</v>
      </c>
      <c r="D771" s="110">
        <f>(C771-B771)/B771</f>
        <v>-0.383541297023008</v>
      </c>
      <c r="E771" s="108">
        <f>'2019 Certified Estimate'!E790</f>
        <v>3072800</v>
      </c>
      <c r="F771" s="108">
        <v>1209350</v>
      </c>
      <c r="G771" s="110">
        <f t="shared" si="70"/>
        <v>-0.6064338713876595</v>
      </c>
      <c r="H771" s="107">
        <f t="shared" si="71"/>
        <v>4803070</v>
      </c>
      <c r="I771" s="108">
        <f t="shared" si="71"/>
        <v>2275990</v>
      </c>
      <c r="J771" s="110">
        <f t="shared" si="72"/>
        <v>-0.5261384905903932</v>
      </c>
      <c r="K771" s="111">
        <f>I771/I775</f>
        <v>0.007435161011307864</v>
      </c>
    </row>
    <row r="772" spans="1:11" ht="9.75">
      <c r="A772" s="9" t="s">
        <v>44</v>
      </c>
      <c r="B772" s="107">
        <v>0</v>
      </c>
      <c r="C772" s="108">
        <v>0</v>
      </c>
      <c r="D772" s="110"/>
      <c r="E772" s="108">
        <f>'2019 Certified Estimate'!E791</f>
        <v>5086110</v>
      </c>
      <c r="F772" s="108">
        <v>5094820</v>
      </c>
      <c r="G772" s="110">
        <f t="shared" si="70"/>
        <v>0.0017125072009846424</v>
      </c>
      <c r="H772" s="107">
        <f t="shared" si="71"/>
        <v>5086110</v>
      </c>
      <c r="I772" s="108">
        <f t="shared" si="71"/>
        <v>5094820</v>
      </c>
      <c r="J772" s="110">
        <f t="shared" si="72"/>
        <v>0.0017125072009846424</v>
      </c>
      <c r="K772" s="111">
        <f>I772/I775</f>
        <v>0.016643661450020227</v>
      </c>
    </row>
    <row r="773" spans="1:11" ht="9.75">
      <c r="A773" s="9" t="s">
        <v>45</v>
      </c>
      <c r="B773" s="107">
        <v>0</v>
      </c>
      <c r="C773" s="108">
        <v>0</v>
      </c>
      <c r="D773" s="110"/>
      <c r="E773" s="108">
        <f>'2019 Certified Estimate'!E792</f>
        <v>55760</v>
      </c>
      <c r="F773" s="108">
        <v>65290</v>
      </c>
      <c r="G773" s="110">
        <v>0</v>
      </c>
      <c r="H773" s="107">
        <f t="shared" si="71"/>
        <v>55760</v>
      </c>
      <c r="I773" s="108">
        <f t="shared" si="71"/>
        <v>65290</v>
      </c>
      <c r="J773" s="110">
        <v>0</v>
      </c>
      <c r="K773" s="111">
        <f>I773/I775</f>
        <v>0.0002132881350218105</v>
      </c>
    </row>
    <row r="774" spans="1:11" ht="10.5" thickBot="1">
      <c r="A774" s="9" t="s">
        <v>64</v>
      </c>
      <c r="B774" s="107">
        <v>0</v>
      </c>
      <c r="C774" s="108">
        <v>0</v>
      </c>
      <c r="D774" s="110"/>
      <c r="E774" s="108">
        <f>'2019 Certified Estimate'!E793</f>
        <v>10335050</v>
      </c>
      <c r="F774" s="108">
        <v>9793600</v>
      </c>
      <c r="G774" s="110">
        <f t="shared" si="70"/>
        <v>-0.05238968364932922</v>
      </c>
      <c r="H774" s="107">
        <f t="shared" si="71"/>
        <v>10335050</v>
      </c>
      <c r="I774" s="108">
        <f t="shared" si="71"/>
        <v>9793600</v>
      </c>
      <c r="J774" s="110">
        <f t="shared" si="72"/>
        <v>-0.05238968364932922</v>
      </c>
      <c r="K774" s="111">
        <f>I774/I775</f>
        <v>0.03199354693137699</v>
      </c>
    </row>
    <row r="775" spans="1:11" ht="10.5" thickBot="1">
      <c r="A775" s="250" t="s">
        <v>47</v>
      </c>
      <c r="B775" s="259">
        <f>SUM(B764:B774)</f>
        <v>32302780</v>
      </c>
      <c r="C775" s="260">
        <f>SUM(C764:C774)</f>
        <v>44633540</v>
      </c>
      <c r="D775" s="256">
        <f>(C775-B775)/B775</f>
        <v>0.3817244212417631</v>
      </c>
      <c r="E775" s="259">
        <f>SUM(E764:E774)</f>
        <v>287389950</v>
      </c>
      <c r="F775" s="260">
        <f>SUM(F764:F774)</f>
        <v>261478190</v>
      </c>
      <c r="G775" s="256">
        <f t="shared" si="70"/>
        <v>-0.0901623734580837</v>
      </c>
      <c r="H775" s="263">
        <f>SUM(H764:H774)</f>
        <v>319692730</v>
      </c>
      <c r="I775" s="255">
        <f>SUM(I764:I774)</f>
        <v>306111730</v>
      </c>
      <c r="J775" s="256">
        <f t="shared" si="72"/>
        <v>-0.04248141645260435</v>
      </c>
      <c r="K775" s="261">
        <f>SUM(K764:K774)</f>
        <v>1</v>
      </c>
    </row>
    <row r="776" spans="1:10" ht="9.75">
      <c r="A776" s="113" t="str">
        <f>A168</f>
        <v>Less Minimum Value Loss</v>
      </c>
      <c r="H776" s="108">
        <f>'2019 Certified Estimate'!H795</f>
        <v>0</v>
      </c>
      <c r="I776" s="118">
        <v>0</v>
      </c>
      <c r="J776" s="110">
        <v>0</v>
      </c>
    </row>
    <row r="777" spans="1:10" ht="9.75">
      <c r="A777" s="113" t="s">
        <v>174</v>
      </c>
      <c r="H777" s="108">
        <f>'2019 Certified Estimate'!H796</f>
        <v>-904210</v>
      </c>
      <c r="I777" s="118">
        <v>-838340</v>
      </c>
      <c r="J777" s="110">
        <f t="shared" si="72"/>
        <v>-0.07284812156468078</v>
      </c>
    </row>
    <row r="778" spans="1:10" ht="10.5" thickBot="1">
      <c r="A778" s="113" t="s">
        <v>49</v>
      </c>
      <c r="H778" s="108">
        <f>'2019 Certified Estimate'!H797</f>
        <v>-92079810</v>
      </c>
      <c r="I778" s="118">
        <v>-89511030</v>
      </c>
      <c r="J778" s="110">
        <f t="shared" si="72"/>
        <v>-0.027897320813324876</v>
      </c>
    </row>
    <row r="779" spans="1:10" ht="10.5" thickBot="1">
      <c r="A779" s="250" t="s">
        <v>50</v>
      </c>
      <c r="B779" s="253"/>
      <c r="C779" s="253"/>
      <c r="D779" s="253"/>
      <c r="E779" s="253"/>
      <c r="F779" s="253"/>
      <c r="G779" s="253"/>
      <c r="H779" s="254">
        <f>SUM(H775:H778)</f>
        <v>226708710</v>
      </c>
      <c r="I779" s="255">
        <f>SUM(I775:I778)</f>
        <v>215762360</v>
      </c>
      <c r="J779" s="256">
        <f t="shared" si="72"/>
        <v>-0.048283764659946236</v>
      </c>
    </row>
    <row r="780" spans="1:10" ht="9.75">
      <c r="A780" s="113" t="s">
        <v>127</v>
      </c>
      <c r="H780" s="108">
        <f>'2019 Certified Estimate'!H799</f>
        <v>-187892</v>
      </c>
      <c r="I780" s="120">
        <v>-199430</v>
      </c>
      <c r="J780" s="110">
        <f t="shared" si="72"/>
        <v>0.06140761714176229</v>
      </c>
    </row>
    <row r="781" spans="1:10" ht="9.75">
      <c r="A781" s="113" t="s">
        <v>78</v>
      </c>
      <c r="H781" s="108">
        <f>'2019 Certified Estimate'!H800</f>
        <v>0</v>
      </c>
      <c r="I781" s="120">
        <v>0</v>
      </c>
      <c r="J781" s="110">
        <v>0</v>
      </c>
    </row>
    <row r="782" spans="1:10" ht="9.75">
      <c r="A782" s="113" t="s">
        <v>128</v>
      </c>
      <c r="H782" s="108">
        <f>'2019 Certified Estimate'!H801</f>
        <v>0</v>
      </c>
      <c r="I782" s="120">
        <v>0</v>
      </c>
      <c r="J782" s="110">
        <v>0</v>
      </c>
    </row>
    <row r="783" spans="1:10" ht="9.75">
      <c r="A783" s="113" t="s">
        <v>157</v>
      </c>
      <c r="H783" s="108">
        <f>'2019 Certified Estimate'!H802</f>
        <v>-10326830</v>
      </c>
      <c r="I783" s="118">
        <v>-9787130</v>
      </c>
      <c r="J783" s="110">
        <f t="shared" si="72"/>
        <v>-0.05226192355253258</v>
      </c>
    </row>
    <row r="784" spans="1:10" ht="9.75">
      <c r="A784" s="113" t="s">
        <v>53</v>
      </c>
      <c r="H784" s="108">
        <f>'2019 Certified Estimate'!H803</f>
        <v>0</v>
      </c>
      <c r="I784" s="118">
        <v>0</v>
      </c>
      <c r="J784" s="110">
        <v>0</v>
      </c>
    </row>
    <row r="785" spans="1:10" ht="9.75">
      <c r="A785" s="113" t="s">
        <v>54</v>
      </c>
      <c r="H785" s="108">
        <f>'2019 Certified Estimate'!H804</f>
        <v>0</v>
      </c>
      <c r="I785" s="118">
        <v>0</v>
      </c>
      <c r="J785" s="110">
        <v>0</v>
      </c>
    </row>
    <row r="786" spans="1:10" ht="9.75">
      <c r="A786" s="113" t="s">
        <v>55</v>
      </c>
      <c r="H786" s="108">
        <f>'2019 Certified Estimate'!H805</f>
        <v>0</v>
      </c>
      <c r="I786" s="118">
        <v>0</v>
      </c>
      <c r="J786" s="110">
        <v>0</v>
      </c>
    </row>
    <row r="787" spans="1:10" ht="9.75">
      <c r="A787" s="113" t="s">
        <v>56</v>
      </c>
      <c r="H787" s="108">
        <f>'2019 Certified Estimate'!H806</f>
        <v>-1888150</v>
      </c>
      <c r="I787" s="118">
        <v>-1512980</v>
      </c>
      <c r="J787" s="110">
        <f t="shared" si="72"/>
        <v>-0.19869713740963377</v>
      </c>
    </row>
    <row r="788" spans="1:10" ht="9.75">
      <c r="A788" s="113" t="s">
        <v>57</v>
      </c>
      <c r="H788" s="108">
        <f>'2019 Certified Estimate'!H807</f>
        <v>-22066591</v>
      </c>
      <c r="I788" s="120">
        <v>-18266694</v>
      </c>
      <c r="J788" s="110">
        <f t="shared" si="72"/>
        <v>-0.17220136087173593</v>
      </c>
    </row>
    <row r="789" spans="1:10" ht="9.75">
      <c r="A789" s="113" t="s">
        <v>58</v>
      </c>
      <c r="H789" s="108">
        <f>'2019 Certified Estimate'!H808</f>
        <v>-2172832</v>
      </c>
      <c r="I789" s="120">
        <v>-2003344</v>
      </c>
      <c r="J789" s="110">
        <f t="shared" si="72"/>
        <v>-0.07800326946583998</v>
      </c>
    </row>
    <row r="790" spans="1:10" ht="10.5" thickBot="1">
      <c r="A790" s="113" t="s">
        <v>59</v>
      </c>
      <c r="H790" s="108">
        <f>'2019 Certified Estimate'!H809</f>
        <v>0</v>
      </c>
      <c r="I790" s="120">
        <v>0</v>
      </c>
      <c r="J790" s="110">
        <v>0</v>
      </c>
    </row>
    <row r="791" spans="1:10" ht="10.5" thickBot="1">
      <c r="A791" s="250" t="s">
        <v>60</v>
      </c>
      <c r="B791" s="253"/>
      <c r="C791" s="253"/>
      <c r="D791" s="253"/>
      <c r="E791" s="253"/>
      <c r="F791" s="253"/>
      <c r="G791" s="253"/>
      <c r="H791" s="254">
        <f>SUM(H779:H790)</f>
        <v>190066415</v>
      </c>
      <c r="I791" s="255">
        <f>SUM(I779:I790)</f>
        <v>183992782</v>
      </c>
      <c r="J791" s="256">
        <f t="shared" si="72"/>
        <v>-0.031955319407692306</v>
      </c>
    </row>
    <row r="792" spans="1:11" ht="10.5">
      <c r="A792" s="121" t="str">
        <f>A754</f>
        <v>2014 Adpoted/2014 Revenue Neutral Tax Rate</v>
      </c>
      <c r="E792" s="217">
        <v>0.1</v>
      </c>
      <c r="F792" s="141">
        <v>0.09465</v>
      </c>
      <c r="G792" s="123"/>
      <c r="H792" s="124"/>
      <c r="I792" s="125"/>
      <c r="J792" s="117"/>
      <c r="K792" s="146"/>
    </row>
    <row r="793" spans="1:11" ht="10.5">
      <c r="A793" s="146"/>
      <c r="B793" s="104"/>
      <c r="C793" s="104"/>
      <c r="D793" s="104"/>
      <c r="E793" s="104"/>
      <c r="F793" s="104"/>
      <c r="G793" s="104"/>
      <c r="H793" s="124"/>
      <c r="I793" s="125"/>
      <c r="J793" s="146"/>
      <c r="K793" s="146"/>
    </row>
    <row r="794" spans="1:10" ht="10.5">
      <c r="A794" s="146"/>
      <c r="G794" s="123"/>
      <c r="H794" s="146"/>
      <c r="I794" s="148"/>
      <c r="J794" s="146"/>
    </row>
    <row r="795" spans="1:11" ht="9.75">
      <c r="A795" s="121" t="s">
        <v>62</v>
      </c>
      <c r="H795" s="131">
        <f>(H791*E792)/100</f>
        <v>190066.415</v>
      </c>
      <c r="I795" s="131">
        <f>(I791*F792)/100</f>
        <v>174149.16816300002</v>
      </c>
      <c r="J795" s="126">
        <f>(I795-H795)/H795</f>
        <v>-0.08374570981938068</v>
      </c>
      <c r="K795" s="104"/>
    </row>
    <row r="796" spans="1:11" ht="9.75">
      <c r="A796" s="121" t="s">
        <v>18</v>
      </c>
      <c r="H796" s="108">
        <f>'2019 Certified Estimate'!H815</f>
        <v>2733631</v>
      </c>
      <c r="I796" s="118">
        <v>10212719</v>
      </c>
      <c r="J796" s="126">
        <f>(I796-H796)/H796</f>
        <v>2.735953755280065</v>
      </c>
      <c r="K796" s="104"/>
    </row>
    <row r="797" spans="1:11" ht="9.75">
      <c r="A797" s="121" t="s">
        <v>17</v>
      </c>
      <c r="H797" s="108">
        <f>'2019 Certified Estimate'!H816</f>
        <v>8388</v>
      </c>
      <c r="I797" s="118">
        <v>8949</v>
      </c>
      <c r="J797" s="126">
        <f>(I797-H797)/H797</f>
        <v>0.06688125894134478</v>
      </c>
      <c r="K797" s="104"/>
    </row>
    <row r="798" spans="1:11" ht="10.5" thickBot="1">
      <c r="A798" s="220"/>
      <c r="B798" s="220"/>
      <c r="C798" s="220"/>
      <c r="D798" s="220"/>
      <c r="E798" s="220"/>
      <c r="F798" s="220"/>
      <c r="G798" s="220"/>
      <c r="H798" s="220"/>
      <c r="I798" s="220"/>
      <c r="J798" s="220"/>
      <c r="K798" s="221"/>
    </row>
    <row r="799" spans="1:11" ht="9.75">
      <c r="A799" s="272" t="s">
        <v>184</v>
      </c>
      <c r="B799" s="95" t="s">
        <v>32</v>
      </c>
      <c r="C799" s="96"/>
      <c r="D799" s="97"/>
      <c r="E799" s="95" t="s">
        <v>33</v>
      </c>
      <c r="F799" s="96"/>
      <c r="G799" s="97"/>
      <c r="H799" s="95" t="s">
        <v>34</v>
      </c>
      <c r="I799" s="96"/>
      <c r="J799" s="97"/>
      <c r="K799" s="99"/>
    </row>
    <row r="800" spans="1:11" ht="9.75">
      <c r="A800" s="103" t="s">
        <v>35</v>
      </c>
      <c r="B800" s="269" t="s">
        <v>193</v>
      </c>
      <c r="C800" s="270" t="s">
        <v>188</v>
      </c>
      <c r="D800" s="232" t="s">
        <v>67</v>
      </c>
      <c r="E800" s="269" t="str">
        <f>B800</f>
        <v>2013 Certified</v>
      </c>
      <c r="F800" s="270" t="s">
        <v>188</v>
      </c>
      <c r="G800" s="232" t="s">
        <v>67</v>
      </c>
      <c r="H800" s="233" t="s">
        <v>187</v>
      </c>
      <c r="I800" s="234" t="s">
        <v>189</v>
      </c>
      <c r="J800" s="232" t="s">
        <v>67</v>
      </c>
      <c r="K800" s="238" t="s">
        <v>71</v>
      </c>
    </row>
    <row r="801" spans="1:11" ht="9.75">
      <c r="A801" s="273"/>
      <c r="B801" s="103"/>
      <c r="C801" s="104"/>
      <c r="D801" s="105"/>
      <c r="E801" s="103"/>
      <c r="F801" s="104"/>
      <c r="G801" s="105"/>
      <c r="H801" s="103"/>
      <c r="I801" s="104"/>
      <c r="J801" s="105"/>
      <c r="K801" s="106"/>
    </row>
    <row r="802" spans="1:11" ht="9.75">
      <c r="A802" s="103" t="s">
        <v>36</v>
      </c>
      <c r="B802" s="107">
        <v>0</v>
      </c>
      <c r="C802" s="108">
        <v>0</v>
      </c>
      <c r="D802" s="105"/>
      <c r="E802" s="109">
        <v>12068120</v>
      </c>
      <c r="F802" s="109">
        <v>14206060</v>
      </c>
      <c r="G802" s="110">
        <f aca="true" t="shared" si="73" ref="G802:G812">(F802-E802)/E802</f>
        <v>0.17715601104397372</v>
      </c>
      <c r="H802" s="107">
        <f aca="true" t="shared" si="74" ref="H802:I812">B802+E802</f>
        <v>12068120</v>
      </c>
      <c r="I802" s="108">
        <f t="shared" si="74"/>
        <v>14206060</v>
      </c>
      <c r="J802" s="110">
        <f aca="true" t="shared" si="75" ref="J802:J813">(I802-H802)/H802</f>
        <v>0.17715601104397372</v>
      </c>
      <c r="K802" s="111">
        <f>I802/I813</f>
        <v>0.0554831826247059</v>
      </c>
    </row>
    <row r="803" spans="1:11" ht="9.75">
      <c r="A803" s="103" t="s">
        <v>37</v>
      </c>
      <c r="B803" s="107">
        <v>0</v>
      </c>
      <c r="C803" s="108">
        <v>0</v>
      </c>
      <c r="D803" s="105"/>
      <c r="E803" s="109">
        <v>0</v>
      </c>
      <c r="F803" s="109">
        <v>0</v>
      </c>
      <c r="G803" s="110">
        <v>0</v>
      </c>
      <c r="H803" s="107">
        <f t="shared" si="74"/>
        <v>0</v>
      </c>
      <c r="I803" s="108">
        <f t="shared" si="74"/>
        <v>0</v>
      </c>
      <c r="J803" s="110">
        <v>0</v>
      </c>
      <c r="K803" s="111">
        <f>I803/I813</f>
        <v>0</v>
      </c>
    </row>
    <row r="804" spans="1:11" ht="9.75">
      <c r="A804" s="103" t="s">
        <v>38</v>
      </c>
      <c r="B804" s="107">
        <v>0</v>
      </c>
      <c r="C804" s="108">
        <v>0</v>
      </c>
      <c r="D804" s="105"/>
      <c r="E804" s="109">
        <v>2811420</v>
      </c>
      <c r="F804" s="109">
        <v>2647570</v>
      </c>
      <c r="G804" s="110">
        <f t="shared" si="73"/>
        <v>-0.05828015735820333</v>
      </c>
      <c r="H804" s="107">
        <f t="shared" si="74"/>
        <v>2811420</v>
      </c>
      <c r="I804" s="108">
        <f t="shared" si="74"/>
        <v>2647570</v>
      </c>
      <c r="J804" s="110">
        <f t="shared" si="75"/>
        <v>-0.05828015735820333</v>
      </c>
      <c r="K804" s="111">
        <f>I804/I813</f>
        <v>0.010340348402139128</v>
      </c>
    </row>
    <row r="805" spans="1:11" ht="9.75">
      <c r="A805" s="103" t="s">
        <v>39</v>
      </c>
      <c r="B805" s="107">
        <v>0</v>
      </c>
      <c r="C805" s="108">
        <v>0</v>
      </c>
      <c r="D805" s="105"/>
      <c r="E805" s="109">
        <v>118785240</v>
      </c>
      <c r="F805" s="109">
        <v>122936010</v>
      </c>
      <c r="G805" s="110">
        <f t="shared" si="73"/>
        <v>0.034943482877165546</v>
      </c>
      <c r="H805" s="107">
        <f t="shared" si="74"/>
        <v>118785240</v>
      </c>
      <c r="I805" s="108">
        <f t="shared" si="74"/>
        <v>122936010</v>
      </c>
      <c r="J805" s="110">
        <f t="shared" si="75"/>
        <v>0.034943482877165546</v>
      </c>
      <c r="K805" s="111">
        <f>I805/I813</f>
        <v>0.4801388346932696</v>
      </c>
    </row>
    <row r="806" spans="1:11" ht="9.75">
      <c r="A806" s="103" t="s">
        <v>40</v>
      </c>
      <c r="B806" s="107">
        <v>0</v>
      </c>
      <c r="C806" s="108">
        <v>0</v>
      </c>
      <c r="D806" s="110"/>
      <c r="E806" s="109">
        <v>869900</v>
      </c>
      <c r="F806" s="109">
        <v>873910</v>
      </c>
      <c r="G806" s="110">
        <f t="shared" si="73"/>
        <v>0.004609725255776526</v>
      </c>
      <c r="H806" s="107">
        <f t="shared" si="74"/>
        <v>869900</v>
      </c>
      <c r="I806" s="108">
        <f t="shared" si="74"/>
        <v>873910</v>
      </c>
      <c r="J806" s="110">
        <f t="shared" si="75"/>
        <v>0.004609725255776526</v>
      </c>
      <c r="K806" s="111">
        <f>I806/I813</f>
        <v>0.003413142569266688</v>
      </c>
    </row>
    <row r="807" spans="1:11" ht="9.75">
      <c r="A807" s="103" t="s">
        <v>41</v>
      </c>
      <c r="B807" s="152">
        <v>102966580</v>
      </c>
      <c r="C807" s="109">
        <v>84039420</v>
      </c>
      <c r="D807" s="110">
        <f>(C807-B807)/B807</f>
        <v>-0.18381847780124386</v>
      </c>
      <c r="E807" s="109">
        <v>0</v>
      </c>
      <c r="F807" s="109">
        <v>0</v>
      </c>
      <c r="G807" s="110">
        <v>0</v>
      </c>
      <c r="H807" s="107">
        <f t="shared" si="74"/>
        <v>102966580</v>
      </c>
      <c r="I807" s="108">
        <f t="shared" si="74"/>
        <v>84039420</v>
      </c>
      <c r="J807" s="110">
        <f t="shared" si="75"/>
        <v>-0.18381847780124386</v>
      </c>
      <c r="K807" s="111">
        <f>I807/I813</f>
        <v>0.3282243273317416</v>
      </c>
    </row>
    <row r="808" spans="1:11" ht="9.75">
      <c r="A808" s="103" t="s">
        <v>42</v>
      </c>
      <c r="B808" s="152">
        <v>10647410</v>
      </c>
      <c r="C808" s="109">
        <v>10967720</v>
      </c>
      <c r="D808" s="110">
        <f>(C808-B808)/B808</f>
        <v>0.0300833723882146</v>
      </c>
      <c r="E808" s="109">
        <v>21590</v>
      </c>
      <c r="F808" s="109">
        <v>25100</v>
      </c>
      <c r="G808" s="110">
        <f t="shared" si="73"/>
        <v>0.16257526632700325</v>
      </c>
      <c r="H808" s="107">
        <f t="shared" si="74"/>
        <v>10669000</v>
      </c>
      <c r="I808" s="108">
        <f t="shared" si="74"/>
        <v>10992820</v>
      </c>
      <c r="J808" s="110">
        <f t="shared" si="75"/>
        <v>0.03035148561252226</v>
      </c>
      <c r="K808" s="111">
        <f>I808/I813</f>
        <v>0.04293355368205677</v>
      </c>
    </row>
    <row r="809" spans="1:11" ht="9.75">
      <c r="A809" s="103" t="s">
        <v>43</v>
      </c>
      <c r="B809" s="152">
        <v>15739450</v>
      </c>
      <c r="C809" s="109">
        <v>13166700</v>
      </c>
      <c r="D809" s="110">
        <f>(C809-B809)/B809</f>
        <v>-0.163458697730861</v>
      </c>
      <c r="E809" s="109">
        <v>4476830</v>
      </c>
      <c r="F809" s="109">
        <v>994060</v>
      </c>
      <c r="G809" s="110">
        <f t="shared" si="73"/>
        <v>-0.7779544901191244</v>
      </c>
      <c r="H809" s="107">
        <f t="shared" si="74"/>
        <v>20216280</v>
      </c>
      <c r="I809" s="108">
        <f t="shared" si="74"/>
        <v>14160760</v>
      </c>
      <c r="J809" s="110">
        <f t="shared" si="75"/>
        <v>-0.2995368089480359</v>
      </c>
      <c r="K809" s="111">
        <f>I809/I813</f>
        <v>0.05530625896164244</v>
      </c>
    </row>
    <row r="810" spans="1:11" ht="9.75">
      <c r="A810" s="103" t="s">
        <v>44</v>
      </c>
      <c r="B810" s="107">
        <v>0</v>
      </c>
      <c r="C810" s="108">
        <v>0</v>
      </c>
      <c r="D810" s="110"/>
      <c r="E810" s="109">
        <v>2262910</v>
      </c>
      <c r="F810" s="109">
        <v>2498020</v>
      </c>
      <c r="G810" s="110">
        <f t="shared" si="73"/>
        <v>0.10389719432058721</v>
      </c>
      <c r="H810" s="107">
        <f t="shared" si="74"/>
        <v>2262910</v>
      </c>
      <c r="I810" s="108">
        <f t="shared" si="74"/>
        <v>2498020</v>
      </c>
      <c r="J810" s="110">
        <f t="shared" si="75"/>
        <v>0.10389719432058721</v>
      </c>
      <c r="K810" s="111">
        <f>I810/I813</f>
        <v>0.00975626597805217</v>
      </c>
    </row>
    <row r="811" spans="1:11" ht="9.75">
      <c r="A811" s="103" t="s">
        <v>45</v>
      </c>
      <c r="B811" s="107">
        <v>0</v>
      </c>
      <c r="C811" s="108">
        <v>0</v>
      </c>
      <c r="D811" s="110"/>
      <c r="E811" s="109">
        <v>230290</v>
      </c>
      <c r="F811" s="109">
        <v>146190</v>
      </c>
      <c r="G811" s="110">
        <v>0</v>
      </c>
      <c r="H811" s="107">
        <f t="shared" si="74"/>
        <v>230290</v>
      </c>
      <c r="I811" s="108">
        <f t="shared" si="74"/>
        <v>146190</v>
      </c>
      <c r="J811" s="110">
        <v>0</v>
      </c>
      <c r="K811" s="111">
        <f>I811/I813</f>
        <v>0.0005709596093431786</v>
      </c>
    </row>
    <row r="812" spans="1:11" ht="10.5" thickBot="1">
      <c r="A812" s="103" t="s">
        <v>64</v>
      </c>
      <c r="B812" s="276">
        <v>0</v>
      </c>
      <c r="C812" s="277">
        <v>0</v>
      </c>
      <c r="D812" s="278"/>
      <c r="E812" s="109">
        <v>3036930</v>
      </c>
      <c r="F812" s="109">
        <v>3541870</v>
      </c>
      <c r="G812" s="110">
        <f t="shared" si="73"/>
        <v>0.16626659159084997</v>
      </c>
      <c r="H812" s="107">
        <f t="shared" si="74"/>
        <v>3036930</v>
      </c>
      <c r="I812" s="108">
        <f t="shared" si="74"/>
        <v>3541870</v>
      </c>
      <c r="J812" s="110">
        <f t="shared" si="75"/>
        <v>0.16626659159084997</v>
      </c>
      <c r="K812" s="275">
        <f>I812/I813</f>
        <v>0.013833126147782501</v>
      </c>
    </row>
    <row r="813" spans="1:11" ht="10.5" thickBot="1">
      <c r="A813" s="250" t="s">
        <v>47</v>
      </c>
      <c r="B813" s="259">
        <f>SUM(B802:B812)</f>
        <v>129353440</v>
      </c>
      <c r="C813" s="260">
        <f>SUM(C802:C812)</f>
        <v>108173840</v>
      </c>
      <c r="D813" s="256">
        <v>1</v>
      </c>
      <c r="E813" s="259">
        <f>SUM(E802:E812)</f>
        <v>144563230</v>
      </c>
      <c r="F813" s="260">
        <f>SUM(F802:F812)</f>
        <v>147868790</v>
      </c>
      <c r="G813" s="256">
        <v>1</v>
      </c>
      <c r="H813" s="263">
        <f>SUM(H802:H812)</f>
        <v>273916670</v>
      </c>
      <c r="I813" s="255">
        <f>SUM(I802:I812)</f>
        <v>256042630</v>
      </c>
      <c r="J813" s="256">
        <f t="shared" si="75"/>
        <v>-0.06525356780950936</v>
      </c>
      <c r="K813" s="256">
        <f>SUM(K802:K812)</f>
        <v>1</v>
      </c>
    </row>
    <row r="814" spans="1:10" ht="9.75">
      <c r="A814" s="274" t="s">
        <v>127</v>
      </c>
      <c r="B814" s="104"/>
      <c r="C814" s="104"/>
      <c r="D814" s="104"/>
      <c r="E814" s="104"/>
      <c r="F814" s="104"/>
      <c r="G814" s="104"/>
      <c r="H814" s="108">
        <v>0</v>
      </c>
      <c r="I814" s="109">
        <v>0</v>
      </c>
      <c r="J814" s="110">
        <v>0</v>
      </c>
    </row>
    <row r="815" spans="1:10" ht="9.75">
      <c r="A815" s="274" t="s">
        <v>174</v>
      </c>
      <c r="B815" s="104"/>
      <c r="C815" s="104"/>
      <c r="D815" s="104"/>
      <c r="E815" s="104"/>
      <c r="F815" s="104"/>
      <c r="G815" s="104"/>
      <c r="H815" s="108">
        <v>-524550</v>
      </c>
      <c r="I815" s="109">
        <v>-477840</v>
      </c>
      <c r="J815" s="110">
        <f aca="true" t="shared" si="76" ref="J815:J829">(I815-H815)/H815</f>
        <v>-0.08904775521875893</v>
      </c>
    </row>
    <row r="816" spans="1:10" ht="10.5" thickBot="1">
      <c r="A816" s="274" t="s">
        <v>49</v>
      </c>
      <c r="B816" s="104"/>
      <c r="C816" s="104"/>
      <c r="D816" s="104"/>
      <c r="E816" s="104"/>
      <c r="F816" s="104"/>
      <c r="G816" s="104"/>
      <c r="H816" s="108">
        <v>-35161210</v>
      </c>
      <c r="I816" s="109">
        <v>-35793370</v>
      </c>
      <c r="J816" s="110">
        <f t="shared" si="76"/>
        <v>0.017978903456394135</v>
      </c>
    </row>
    <row r="817" spans="1:10" ht="10.5" thickBot="1">
      <c r="A817" s="250" t="s">
        <v>50</v>
      </c>
      <c r="B817" s="253"/>
      <c r="C817" s="253"/>
      <c r="D817" s="253"/>
      <c r="E817" s="253"/>
      <c r="F817" s="253"/>
      <c r="G817" s="253"/>
      <c r="H817" s="254">
        <f>SUM(H813:H816)</f>
        <v>238230910</v>
      </c>
      <c r="I817" s="255">
        <f>SUM(I813:I816)</f>
        <v>219771420</v>
      </c>
      <c r="J817" s="256">
        <f t="shared" si="76"/>
        <v>-0.07748570494063932</v>
      </c>
    </row>
    <row r="818" spans="1:10" ht="9.75">
      <c r="A818" s="274" t="s">
        <v>127</v>
      </c>
      <c r="B818" s="104"/>
      <c r="C818" s="104"/>
      <c r="D818" s="104"/>
      <c r="E818" s="104"/>
      <c r="F818" s="104"/>
      <c r="G818" s="104"/>
      <c r="H818" s="125">
        <v>-239840</v>
      </c>
      <c r="I818" s="131">
        <v>-247020</v>
      </c>
      <c r="J818" s="110">
        <f t="shared" si="76"/>
        <v>0.029936624416277518</v>
      </c>
    </row>
    <row r="819" spans="1:10" ht="9.75">
      <c r="A819" s="274" t="s">
        <v>78</v>
      </c>
      <c r="B819" s="104"/>
      <c r="C819" s="104"/>
      <c r="D819" s="104"/>
      <c r="E819" s="104"/>
      <c r="F819" s="104"/>
      <c r="G819" s="104"/>
      <c r="H819" s="125">
        <v>0</v>
      </c>
      <c r="I819" s="131">
        <v>-851400</v>
      </c>
      <c r="J819" s="110">
        <v>0</v>
      </c>
    </row>
    <row r="820" spans="1:10" ht="9.75">
      <c r="A820" s="274" t="s">
        <v>128</v>
      </c>
      <c r="B820" s="104"/>
      <c r="C820" s="104"/>
      <c r="D820" s="104"/>
      <c r="E820" s="104"/>
      <c r="F820" s="104"/>
      <c r="G820" s="104"/>
      <c r="H820" s="125">
        <v>0</v>
      </c>
      <c r="I820" s="131">
        <v>0</v>
      </c>
      <c r="J820" s="110">
        <v>0</v>
      </c>
    </row>
    <row r="821" spans="1:10" ht="9.75">
      <c r="A821" s="274" t="s">
        <v>157</v>
      </c>
      <c r="B821" s="104"/>
      <c r="C821" s="104"/>
      <c r="D821" s="104"/>
      <c r="E821" s="104"/>
      <c r="F821" s="104"/>
      <c r="G821" s="104"/>
      <c r="H821" s="125">
        <v>-3144940</v>
      </c>
      <c r="I821" s="109">
        <v>-3653490</v>
      </c>
      <c r="J821" s="110">
        <f t="shared" si="76"/>
        <v>0.16170419785433107</v>
      </c>
    </row>
    <row r="822" spans="1:10" ht="9.75">
      <c r="A822" s="274" t="s">
        <v>53</v>
      </c>
      <c r="B822" s="104"/>
      <c r="C822" s="104"/>
      <c r="D822" s="104"/>
      <c r="E822" s="104"/>
      <c r="F822" s="104"/>
      <c r="G822" s="104"/>
      <c r="H822" s="125">
        <v>0</v>
      </c>
      <c r="I822" s="109">
        <v>0</v>
      </c>
      <c r="J822" s="110">
        <v>0</v>
      </c>
    </row>
    <row r="823" spans="1:10" ht="9.75">
      <c r="A823" s="274" t="s">
        <v>54</v>
      </c>
      <c r="B823" s="104"/>
      <c r="C823" s="104"/>
      <c r="D823" s="104"/>
      <c r="E823" s="104"/>
      <c r="F823" s="104"/>
      <c r="G823" s="104"/>
      <c r="H823" s="125">
        <v>0</v>
      </c>
      <c r="I823" s="109">
        <v>0</v>
      </c>
      <c r="J823" s="110">
        <v>0</v>
      </c>
    </row>
    <row r="824" spans="1:10" ht="9.75">
      <c r="A824" s="274" t="s">
        <v>55</v>
      </c>
      <c r="B824" s="104"/>
      <c r="C824" s="104"/>
      <c r="D824" s="104"/>
      <c r="E824" s="104"/>
      <c r="F824" s="104"/>
      <c r="G824" s="104"/>
      <c r="H824" s="125">
        <v>0</v>
      </c>
      <c r="I824" s="109">
        <v>0</v>
      </c>
      <c r="J824" s="110">
        <v>0</v>
      </c>
    </row>
    <row r="825" spans="1:10" ht="9.75">
      <c r="A825" s="274" t="s">
        <v>56</v>
      </c>
      <c r="B825" s="104"/>
      <c r="C825" s="104"/>
      <c r="D825" s="104"/>
      <c r="E825" s="104"/>
      <c r="F825" s="104"/>
      <c r="G825" s="104"/>
      <c r="H825" s="125">
        <v>-798401</v>
      </c>
      <c r="I825" s="109">
        <v>-1170438</v>
      </c>
      <c r="J825" s="110">
        <f t="shared" si="76"/>
        <v>0.46597762277351856</v>
      </c>
    </row>
    <row r="826" spans="1:10" ht="9.75">
      <c r="A826" s="274" t="s">
        <v>57</v>
      </c>
      <c r="B826" s="104"/>
      <c r="C826" s="104"/>
      <c r="D826" s="104"/>
      <c r="E826" s="104"/>
      <c r="F826" s="104"/>
      <c r="G826" s="104"/>
      <c r="H826" s="125">
        <v>-10656444</v>
      </c>
      <c r="I826" s="131">
        <v>-11114638</v>
      </c>
      <c r="J826" s="110">
        <f t="shared" si="76"/>
        <v>0.04299689464890915</v>
      </c>
    </row>
    <row r="827" spans="1:10" ht="9.75">
      <c r="A827" s="274" t="s">
        <v>58</v>
      </c>
      <c r="B827" s="104"/>
      <c r="C827" s="104"/>
      <c r="D827" s="104"/>
      <c r="E827" s="104"/>
      <c r="F827" s="104"/>
      <c r="G827" s="104"/>
      <c r="H827" s="125">
        <v>-1099408</v>
      </c>
      <c r="I827" s="131">
        <v>-1112460</v>
      </c>
      <c r="J827" s="110">
        <f t="shared" si="76"/>
        <v>0.011871843755912272</v>
      </c>
    </row>
    <row r="828" spans="1:10" ht="10.5" thickBot="1">
      <c r="A828" s="274" t="s">
        <v>59</v>
      </c>
      <c r="B828" s="104"/>
      <c r="C828" s="104"/>
      <c r="D828" s="104"/>
      <c r="E828" s="104"/>
      <c r="F828" s="104"/>
      <c r="G828" s="104"/>
      <c r="H828" s="125">
        <v>0</v>
      </c>
      <c r="I828" s="131">
        <v>0</v>
      </c>
      <c r="J828" s="110">
        <v>0</v>
      </c>
    </row>
    <row r="829" spans="1:10" ht="10.5" thickBot="1">
      <c r="A829" s="250" t="s">
        <v>60</v>
      </c>
      <c r="B829" s="253"/>
      <c r="C829" s="253"/>
      <c r="D829" s="253"/>
      <c r="E829" s="253"/>
      <c r="F829" s="253"/>
      <c r="G829" s="253"/>
      <c r="H829" s="254">
        <f>SUM(H817:H828)</f>
        <v>222291877</v>
      </c>
      <c r="I829" s="255">
        <f>SUM(I817:I828)</f>
        <v>201621974</v>
      </c>
      <c r="J829" s="256">
        <f t="shared" si="76"/>
        <v>-0.09298541754631907</v>
      </c>
    </row>
    <row r="830" spans="1:11" ht="10.5">
      <c r="A830" s="121" t="str">
        <f>A792</f>
        <v>2014 Adpoted/2014 Revenue Neutral Tax Rate</v>
      </c>
      <c r="E830" s="141">
        <v>0.085</v>
      </c>
      <c r="F830" s="281">
        <v>0.09371</v>
      </c>
      <c r="G830" s="123"/>
      <c r="H830" s="124"/>
      <c r="I830" s="125"/>
      <c r="J830" s="117"/>
      <c r="K830" s="271"/>
    </row>
    <row r="831" spans="1:11" ht="10.5">
      <c r="A831" s="271"/>
      <c r="B831" s="104"/>
      <c r="C831" s="104"/>
      <c r="D831" s="104"/>
      <c r="E831" s="104"/>
      <c r="F831" s="104"/>
      <c r="G831" s="104"/>
      <c r="H831" s="124"/>
      <c r="I831" s="125"/>
      <c r="J831" s="271"/>
      <c r="K831" s="271"/>
    </row>
    <row r="832" spans="1:10" ht="10.5">
      <c r="A832" s="271"/>
      <c r="G832" s="123"/>
      <c r="H832" s="271"/>
      <c r="I832" s="148"/>
      <c r="J832" s="271"/>
    </row>
    <row r="833" spans="1:10" ht="9.75">
      <c r="A833" s="121" t="s">
        <v>62</v>
      </c>
      <c r="H833" s="125">
        <f>(H829*E830)/100</f>
        <v>188948.09545000002</v>
      </c>
      <c r="I833" s="268">
        <f>(I829*F830)/100</f>
        <v>188939.95183540002</v>
      </c>
      <c r="J833" s="123">
        <f>(I833-H833)/H833</f>
        <v>-4.3099744300730886E-05</v>
      </c>
    </row>
    <row r="834" spans="1:10" ht="9.75">
      <c r="A834" s="121" t="s">
        <v>18</v>
      </c>
      <c r="H834" s="118">
        <v>2442543</v>
      </c>
      <c r="I834" s="112">
        <v>5138010</v>
      </c>
      <c r="J834" s="117">
        <f>(I834-H834)/H834</f>
        <v>1.103549456447645</v>
      </c>
    </row>
    <row r="835" spans="1:10" ht="9.75">
      <c r="A835" s="121" t="s">
        <v>17</v>
      </c>
      <c r="H835" s="118">
        <v>14662</v>
      </c>
      <c r="I835" s="112">
        <v>15200</v>
      </c>
      <c r="J835" s="117">
        <f>(I835-H835)/H835</f>
        <v>0.036693493384258626</v>
      </c>
    </row>
    <row r="836" spans="1:11" ht="11.25">
      <c r="A836" s="218"/>
      <c r="B836" s="218"/>
      <c r="C836" s="218"/>
      <c r="D836" s="218"/>
      <c r="E836" s="218"/>
      <c r="F836" s="218"/>
      <c r="G836" s="218"/>
      <c r="H836" s="218"/>
      <c r="I836" s="218"/>
      <c r="J836" s="218"/>
      <c r="K836" s="219"/>
    </row>
    <row r="853" spans="1:11" ht="10.5" thickBot="1">
      <c r="A853" s="155" t="s">
        <v>0</v>
      </c>
      <c r="B853" s="156"/>
      <c r="C853" s="156"/>
      <c r="D853" s="156"/>
      <c r="E853" s="156"/>
      <c r="F853" s="156"/>
      <c r="G853" s="156"/>
      <c r="H853" s="157"/>
      <c r="I853" s="157"/>
      <c r="J853" s="156"/>
      <c r="K853" s="156"/>
    </row>
    <row r="854" spans="1:11" ht="9.75">
      <c r="A854" s="158" t="s">
        <v>66</v>
      </c>
      <c r="B854" s="159" t="s">
        <v>32</v>
      </c>
      <c r="C854" s="160"/>
      <c r="D854" s="161"/>
      <c r="E854" s="159" t="s">
        <v>33</v>
      </c>
      <c r="F854" s="160"/>
      <c r="G854" s="161"/>
      <c r="H854" s="159" t="s">
        <v>34</v>
      </c>
      <c r="I854" s="160"/>
      <c r="J854" s="161"/>
      <c r="K854" s="156"/>
    </row>
    <row r="855" spans="1:11" ht="9.75">
      <c r="A855" s="156" t="s">
        <v>35</v>
      </c>
      <c r="B855" s="164" t="s">
        <v>195</v>
      </c>
      <c r="C855" s="162" t="s">
        <v>188</v>
      </c>
      <c r="D855" s="163" t="s">
        <v>67</v>
      </c>
      <c r="E855" s="164" t="str">
        <f>B855</f>
        <v>2014 Certified</v>
      </c>
      <c r="F855" s="165" t="s">
        <v>188</v>
      </c>
      <c r="G855" s="163" t="s">
        <v>67</v>
      </c>
      <c r="H855" s="164" t="s">
        <v>189</v>
      </c>
      <c r="I855" s="165" t="s">
        <v>189</v>
      </c>
      <c r="J855" s="163" t="s">
        <v>67</v>
      </c>
      <c r="K855" s="166" t="s">
        <v>71</v>
      </c>
    </row>
    <row r="856" spans="1:11" ht="9.75">
      <c r="A856" s="156"/>
      <c r="B856" s="167"/>
      <c r="C856" s="168"/>
      <c r="D856" s="169"/>
      <c r="E856" s="167"/>
      <c r="F856" s="168"/>
      <c r="G856" s="169"/>
      <c r="H856" s="167"/>
      <c r="I856" s="168"/>
      <c r="J856" s="169"/>
      <c r="K856" s="156"/>
    </row>
    <row r="857" spans="1:11" ht="9.75">
      <c r="A857" s="156" t="s">
        <v>36</v>
      </c>
      <c r="B857" s="170">
        <v>0</v>
      </c>
      <c r="C857" s="171">
        <v>0</v>
      </c>
      <c r="D857" s="169"/>
      <c r="E857" s="170">
        <v>0</v>
      </c>
      <c r="F857" s="171">
        <v>0</v>
      </c>
      <c r="G857" s="172" t="e">
        <f>(F857-E857)/E857</f>
        <v>#DIV/0!</v>
      </c>
      <c r="H857" s="170">
        <f aca="true" t="shared" si="77" ref="H857:I867">B857+E857</f>
        <v>0</v>
      </c>
      <c r="I857" s="171">
        <f t="shared" si="77"/>
        <v>0</v>
      </c>
      <c r="J857" s="172" t="e">
        <f>(I857-H857)/H857</f>
        <v>#DIV/0!</v>
      </c>
      <c r="K857" s="173" t="e">
        <f>I857/I868</f>
        <v>#DIV/0!</v>
      </c>
    </row>
    <row r="858" spans="1:11" ht="9.75">
      <c r="A858" s="156" t="s">
        <v>37</v>
      </c>
      <c r="B858" s="170">
        <v>0</v>
      </c>
      <c r="C858" s="171">
        <v>0</v>
      </c>
      <c r="D858" s="169"/>
      <c r="E858" s="170">
        <v>0</v>
      </c>
      <c r="F858" s="171">
        <v>0</v>
      </c>
      <c r="G858" s="172"/>
      <c r="H858" s="170">
        <f t="shared" si="77"/>
        <v>0</v>
      </c>
      <c r="I858" s="171">
        <f t="shared" si="77"/>
        <v>0</v>
      </c>
      <c r="J858" s="172"/>
      <c r="K858" s="173" t="e">
        <f>I858/I868</f>
        <v>#DIV/0!</v>
      </c>
    </row>
    <row r="859" spans="1:11" ht="9.75">
      <c r="A859" s="156" t="s">
        <v>38</v>
      </c>
      <c r="B859" s="170">
        <v>0</v>
      </c>
      <c r="C859" s="171">
        <v>0</v>
      </c>
      <c r="D859" s="169"/>
      <c r="E859" s="170">
        <v>0</v>
      </c>
      <c r="F859" s="171">
        <v>0</v>
      </c>
      <c r="G859" s="172" t="e">
        <f>(F859-E859)/E859</f>
        <v>#DIV/0!</v>
      </c>
      <c r="H859" s="170">
        <f t="shared" si="77"/>
        <v>0</v>
      </c>
      <c r="I859" s="171">
        <f t="shared" si="77"/>
        <v>0</v>
      </c>
      <c r="J859" s="172" t="e">
        <f aca="true" t="shared" si="78" ref="J859:J865">(I859-H859)/H859</f>
        <v>#DIV/0!</v>
      </c>
      <c r="K859" s="173" t="e">
        <f>I859/I868</f>
        <v>#DIV/0!</v>
      </c>
    </row>
    <row r="860" spans="1:11" ht="9.75">
      <c r="A860" s="156" t="s">
        <v>39</v>
      </c>
      <c r="B860" s="170">
        <v>0</v>
      </c>
      <c r="C860" s="171">
        <v>0</v>
      </c>
      <c r="D860" s="169"/>
      <c r="E860" s="170">
        <v>0</v>
      </c>
      <c r="F860" s="171">
        <v>0</v>
      </c>
      <c r="G860" s="172" t="e">
        <f>(F860-E860)/E860</f>
        <v>#DIV/0!</v>
      </c>
      <c r="H860" s="170">
        <f t="shared" si="77"/>
        <v>0</v>
      </c>
      <c r="I860" s="171">
        <f t="shared" si="77"/>
        <v>0</v>
      </c>
      <c r="J860" s="172" t="e">
        <f t="shared" si="78"/>
        <v>#DIV/0!</v>
      </c>
      <c r="K860" s="173" t="e">
        <f>I860/I868</f>
        <v>#DIV/0!</v>
      </c>
    </row>
    <row r="861" spans="1:11" ht="9.75">
      <c r="A861" s="156" t="s">
        <v>40</v>
      </c>
      <c r="B861" s="170">
        <v>0</v>
      </c>
      <c r="C861" s="171">
        <v>0</v>
      </c>
      <c r="D861" s="169"/>
      <c r="E861" s="170">
        <v>0</v>
      </c>
      <c r="F861" s="171">
        <v>0</v>
      </c>
      <c r="G861" s="172" t="e">
        <f>(F861-E861)/E861</f>
        <v>#DIV/0!</v>
      </c>
      <c r="H861" s="170">
        <f t="shared" si="77"/>
        <v>0</v>
      </c>
      <c r="I861" s="171">
        <f t="shared" si="77"/>
        <v>0</v>
      </c>
      <c r="J861" s="172" t="e">
        <f t="shared" si="78"/>
        <v>#DIV/0!</v>
      </c>
      <c r="K861" s="173" t="e">
        <f>I861/I868</f>
        <v>#DIV/0!</v>
      </c>
    </row>
    <row r="862" spans="1:11" ht="9.75">
      <c r="A862" s="156" t="s">
        <v>41</v>
      </c>
      <c r="B862" s="170">
        <v>0</v>
      </c>
      <c r="C862" s="171">
        <v>0</v>
      </c>
      <c r="D862" s="172" t="e">
        <f>(C862-B862)/B862</f>
        <v>#DIV/0!</v>
      </c>
      <c r="E862" s="170">
        <v>0</v>
      </c>
      <c r="F862" s="171">
        <v>0</v>
      </c>
      <c r="G862" s="172"/>
      <c r="H862" s="170">
        <f t="shared" si="77"/>
        <v>0</v>
      </c>
      <c r="I862" s="171">
        <f t="shared" si="77"/>
        <v>0</v>
      </c>
      <c r="J862" s="172" t="e">
        <f t="shared" si="78"/>
        <v>#DIV/0!</v>
      </c>
      <c r="K862" s="173" t="e">
        <f>I862/I868</f>
        <v>#DIV/0!</v>
      </c>
    </row>
    <row r="863" spans="1:11" ht="9.75">
      <c r="A863" s="156" t="s">
        <v>42</v>
      </c>
      <c r="B863" s="170">
        <v>0</v>
      </c>
      <c r="C863" s="171">
        <v>0</v>
      </c>
      <c r="D863" s="172" t="e">
        <f>(C863-B863)/B863</f>
        <v>#DIV/0!</v>
      </c>
      <c r="E863" s="170">
        <v>0</v>
      </c>
      <c r="F863" s="171">
        <v>0</v>
      </c>
      <c r="G863" s="172" t="e">
        <f>(F863-E863)/E863</f>
        <v>#DIV/0!</v>
      </c>
      <c r="H863" s="170">
        <f t="shared" si="77"/>
        <v>0</v>
      </c>
      <c r="I863" s="171">
        <f t="shared" si="77"/>
        <v>0</v>
      </c>
      <c r="J863" s="172" t="e">
        <f t="shared" si="78"/>
        <v>#DIV/0!</v>
      </c>
      <c r="K863" s="173" t="e">
        <f>I863/I868</f>
        <v>#DIV/0!</v>
      </c>
    </row>
    <row r="864" spans="1:11" ht="9.75">
      <c r="A864" s="156" t="s">
        <v>43</v>
      </c>
      <c r="B864" s="170">
        <v>0</v>
      </c>
      <c r="C864" s="171">
        <v>0</v>
      </c>
      <c r="D864" s="172" t="e">
        <f>(C864-B864)/B864</f>
        <v>#DIV/0!</v>
      </c>
      <c r="E864" s="170">
        <v>0</v>
      </c>
      <c r="F864" s="171">
        <v>0</v>
      </c>
      <c r="G864" s="172" t="e">
        <f>(F864-E864)/E864</f>
        <v>#DIV/0!</v>
      </c>
      <c r="H864" s="170">
        <f t="shared" si="77"/>
        <v>0</v>
      </c>
      <c r="I864" s="171">
        <f t="shared" si="77"/>
        <v>0</v>
      </c>
      <c r="J864" s="172" t="e">
        <f t="shared" si="78"/>
        <v>#DIV/0!</v>
      </c>
      <c r="K864" s="173" t="e">
        <f>I864/I868</f>
        <v>#DIV/0!</v>
      </c>
    </row>
    <row r="865" spans="1:11" ht="9.75">
      <c r="A865" s="156" t="s">
        <v>44</v>
      </c>
      <c r="B865" s="170">
        <v>0</v>
      </c>
      <c r="C865" s="171">
        <v>0</v>
      </c>
      <c r="D865" s="172"/>
      <c r="E865" s="170">
        <f>'Waskom Recert'!E383</f>
        <v>0</v>
      </c>
      <c r="F865" s="171">
        <v>0</v>
      </c>
      <c r="G865" s="172" t="e">
        <f>(F865-E865)/E865</f>
        <v>#DIV/0!</v>
      </c>
      <c r="H865" s="170">
        <f t="shared" si="77"/>
        <v>0</v>
      </c>
      <c r="I865" s="171">
        <f t="shared" si="77"/>
        <v>0</v>
      </c>
      <c r="J865" s="172" t="e">
        <f t="shared" si="78"/>
        <v>#DIV/0!</v>
      </c>
      <c r="K865" s="173" t="e">
        <f>I865/I868</f>
        <v>#DIV/0!</v>
      </c>
    </row>
    <row r="866" spans="1:11" ht="9.75">
      <c r="A866" s="156" t="s">
        <v>45</v>
      </c>
      <c r="B866" s="170">
        <v>0</v>
      </c>
      <c r="C866" s="171">
        <v>0</v>
      </c>
      <c r="D866" s="172"/>
      <c r="E866" s="170">
        <v>0</v>
      </c>
      <c r="F866" s="171">
        <v>0</v>
      </c>
      <c r="G866" s="172"/>
      <c r="H866" s="170">
        <f t="shared" si="77"/>
        <v>0</v>
      </c>
      <c r="I866" s="171">
        <f t="shared" si="77"/>
        <v>0</v>
      </c>
      <c r="J866" s="172"/>
      <c r="K866" s="173" t="e">
        <f>I866/I868</f>
        <v>#DIV/0!</v>
      </c>
    </row>
    <row r="867" spans="1:11" ht="9.75">
      <c r="A867" s="156" t="s">
        <v>46</v>
      </c>
      <c r="B867" s="174">
        <v>0</v>
      </c>
      <c r="C867" s="171">
        <v>0</v>
      </c>
      <c r="D867" s="172"/>
      <c r="E867" s="170">
        <v>0</v>
      </c>
      <c r="F867" s="171">
        <v>0</v>
      </c>
      <c r="G867" s="172" t="e">
        <f>(F867-E867)/E867</f>
        <v>#DIV/0!</v>
      </c>
      <c r="H867" s="174">
        <f t="shared" si="77"/>
        <v>0</v>
      </c>
      <c r="I867" s="171">
        <f t="shared" si="77"/>
        <v>0</v>
      </c>
      <c r="J867" s="172" t="e">
        <f>(I867-H867)/H867</f>
        <v>#DIV/0!</v>
      </c>
      <c r="K867" s="175" t="e">
        <f>I867/I868</f>
        <v>#DIV/0!</v>
      </c>
    </row>
    <row r="868" spans="1:11" ht="10.5" thickBot="1">
      <c r="A868" s="176" t="s">
        <v>47</v>
      </c>
      <c r="B868" s="177">
        <f>SUM(B862:B867)</f>
        <v>0</v>
      </c>
      <c r="C868" s="178">
        <f>SUM(C862:C867)</f>
        <v>0</v>
      </c>
      <c r="D868" s="179" t="e">
        <f>(C868-B868)/B868</f>
        <v>#DIV/0!</v>
      </c>
      <c r="E868" s="180">
        <f>SUM(E857:E867)</f>
        <v>0</v>
      </c>
      <c r="F868" s="180">
        <f>SUM(F857:F867)</f>
        <v>0</v>
      </c>
      <c r="G868" s="179" t="e">
        <f>(F868-E868)/E868</f>
        <v>#DIV/0!</v>
      </c>
      <c r="H868" s="177">
        <f>SUM(H857:H867)</f>
        <v>0</v>
      </c>
      <c r="I868" s="178">
        <f>SUM(I857:I867)</f>
        <v>0</v>
      </c>
      <c r="J868" s="179" t="e">
        <f>(I868-H868)/H868</f>
        <v>#DIV/0!</v>
      </c>
      <c r="K868" s="181" t="e">
        <f>SUM(K857:K867)</f>
        <v>#DIV/0!</v>
      </c>
    </row>
    <row r="869" spans="1:11" ht="9.75">
      <c r="A869" s="182" t="str">
        <f>A16</f>
        <v>Less Minimum Value Loss</v>
      </c>
      <c r="B869" s="183"/>
      <c r="C869" s="183"/>
      <c r="D869" s="184"/>
      <c r="E869" s="183"/>
      <c r="F869" s="156"/>
      <c r="G869" s="156"/>
      <c r="H869" s="185">
        <f>'Waskom Recert'!H387</f>
        <v>5649430</v>
      </c>
      <c r="I869" s="157"/>
      <c r="J869" s="181"/>
      <c r="K869" s="156"/>
    </row>
    <row r="870" spans="1:11" ht="9.75">
      <c r="A870" s="113" t="s">
        <v>174</v>
      </c>
      <c r="B870" s="183"/>
      <c r="C870" s="183"/>
      <c r="D870" s="184"/>
      <c r="E870" s="183"/>
      <c r="F870" s="156"/>
      <c r="G870" s="156"/>
      <c r="H870" s="185">
        <f>'Waskom Recert'!H388</f>
        <v>17818360</v>
      </c>
      <c r="I870" s="185"/>
      <c r="J870" s="181">
        <f>(I870-H870)/H870</f>
        <v>-1</v>
      </c>
      <c r="K870" s="156"/>
    </row>
    <row r="871" spans="1:11" ht="9.75">
      <c r="A871" s="182" t="s">
        <v>49</v>
      </c>
      <c r="B871" s="183"/>
      <c r="C871" s="183"/>
      <c r="D871" s="184"/>
      <c r="E871" s="183"/>
      <c r="F871" s="156"/>
      <c r="G871" s="156"/>
      <c r="H871" s="185">
        <f>'Waskom Recert'!H389</f>
        <v>0</v>
      </c>
      <c r="I871" s="186"/>
      <c r="J871" s="181" t="e">
        <f>(I871-H871)/H871</f>
        <v>#DIV/0!</v>
      </c>
      <c r="K871" s="156"/>
    </row>
    <row r="872" spans="1:11" ht="9.75">
      <c r="A872" s="176" t="s">
        <v>50</v>
      </c>
      <c r="B872" s="187"/>
      <c r="C872" s="187"/>
      <c r="D872" s="188"/>
      <c r="E872" s="187"/>
      <c r="F872" s="189"/>
      <c r="G872" s="189"/>
      <c r="H872" s="190">
        <f>SUM(H868:H871)</f>
        <v>23467790</v>
      </c>
      <c r="I872" s="191">
        <f>SUM(I868:I871)</f>
        <v>0</v>
      </c>
      <c r="J872" s="192">
        <f>(I872-H872)/H872</f>
        <v>-1</v>
      </c>
      <c r="K872" s="156"/>
    </row>
    <row r="873" spans="1:11" ht="9.75">
      <c r="A873" s="237" t="s">
        <v>127</v>
      </c>
      <c r="B873" s="183"/>
      <c r="C873" s="183"/>
      <c r="D873" s="184"/>
      <c r="E873" s="183"/>
      <c r="F873" s="156"/>
      <c r="G873" s="156"/>
      <c r="H873" s="193">
        <f>'Waskom Recert'!H391</f>
        <v>4674470</v>
      </c>
      <c r="I873" s="194"/>
      <c r="J873" s="181"/>
      <c r="K873" s="156"/>
    </row>
    <row r="874" spans="1:11" ht="9.75">
      <c r="A874" s="237" t="s">
        <v>78</v>
      </c>
      <c r="B874" s="183"/>
      <c r="C874" s="183"/>
      <c r="D874" s="184"/>
      <c r="E874" s="183"/>
      <c r="F874" s="157"/>
      <c r="G874" s="156"/>
      <c r="H874" s="193">
        <f>'Waskom Recert'!H392</f>
        <v>455480</v>
      </c>
      <c r="I874" s="194"/>
      <c r="J874" s="181"/>
      <c r="K874" s="156"/>
    </row>
    <row r="875" spans="1:11" ht="9.75">
      <c r="A875" s="237" t="s">
        <v>128</v>
      </c>
      <c r="B875" s="183"/>
      <c r="C875" s="183"/>
      <c r="D875" s="184"/>
      <c r="E875" s="183"/>
      <c r="F875" s="156"/>
      <c r="G875" s="156"/>
      <c r="H875" s="193">
        <f>'Waskom Recert'!H393</f>
        <v>3705060</v>
      </c>
      <c r="I875" s="194"/>
      <c r="J875" s="181"/>
      <c r="K875" s="156"/>
    </row>
    <row r="876" spans="1:11" ht="9.75">
      <c r="A876" s="237" t="s">
        <v>157</v>
      </c>
      <c r="B876" s="183"/>
      <c r="C876" s="183"/>
      <c r="D876" s="184"/>
      <c r="E876" s="183"/>
      <c r="F876" s="156"/>
      <c r="G876" s="156"/>
      <c r="H876" s="193">
        <f>'Waskom Recert'!H394</f>
        <v>38655920</v>
      </c>
      <c r="I876" s="185"/>
      <c r="J876" s="181">
        <f aca="true" t="shared" si="79" ref="J876:J882">(I876-H876)/H876</f>
        <v>-1</v>
      </c>
      <c r="K876" s="156"/>
    </row>
    <row r="877" spans="1:11" ht="9.75">
      <c r="A877" s="182" t="s">
        <v>53</v>
      </c>
      <c r="B877" s="183"/>
      <c r="C877" s="183"/>
      <c r="D877" s="184"/>
      <c r="E877" s="183"/>
      <c r="F877" s="156"/>
      <c r="G877" s="156"/>
      <c r="H877" s="193">
        <f>'Waskom Recert'!H395</f>
        <v>283410030</v>
      </c>
      <c r="I877" s="185"/>
      <c r="J877" s="181">
        <f t="shared" si="79"/>
        <v>-1</v>
      </c>
      <c r="K877" s="156"/>
    </row>
    <row r="878" spans="1:11" ht="9.75">
      <c r="A878" s="182" t="s">
        <v>54</v>
      </c>
      <c r="B878" s="183"/>
      <c r="C878" s="183"/>
      <c r="D878" s="184"/>
      <c r="E878" s="183"/>
      <c r="F878" s="156"/>
      <c r="G878" s="156"/>
      <c r="H878" s="193">
        <f>'Waskom Recert'!H396</f>
        <v>0</v>
      </c>
      <c r="I878" s="185"/>
      <c r="J878" s="181" t="e">
        <f t="shared" si="79"/>
        <v>#DIV/0!</v>
      </c>
      <c r="K878" s="156"/>
    </row>
    <row r="879" spans="1:11" ht="9.75">
      <c r="A879" s="182" t="s">
        <v>55</v>
      </c>
      <c r="B879" s="183"/>
      <c r="C879" s="183"/>
      <c r="D879" s="184"/>
      <c r="E879" s="183"/>
      <c r="F879" s="156"/>
      <c r="G879" s="156"/>
      <c r="H879" s="193">
        <f>'Waskom Recert'!H397</f>
        <v>-297570</v>
      </c>
      <c r="I879" s="185"/>
      <c r="J879" s="181">
        <f t="shared" si="79"/>
        <v>-1</v>
      </c>
      <c r="K879" s="156"/>
    </row>
    <row r="880" spans="1:11" ht="9.75">
      <c r="A880" s="182" t="s">
        <v>56</v>
      </c>
      <c r="B880" s="183"/>
      <c r="C880" s="183"/>
      <c r="D880" s="184"/>
      <c r="E880" s="183"/>
      <c r="F880" s="156"/>
      <c r="G880" s="156"/>
      <c r="H880" s="193">
        <f>'Waskom Recert'!H398</f>
        <v>-1802800</v>
      </c>
      <c r="I880" s="185"/>
      <c r="J880" s="181">
        <f t="shared" si="79"/>
        <v>-1</v>
      </c>
      <c r="K880" s="156"/>
    </row>
    <row r="881" spans="1:11" ht="9.75">
      <c r="A881" s="182" t="s">
        <v>57</v>
      </c>
      <c r="B881" s="183"/>
      <c r="C881" s="183"/>
      <c r="D881" s="184"/>
      <c r="E881" s="183"/>
      <c r="F881" s="156"/>
      <c r="G881" s="156"/>
      <c r="H881" s="193">
        <f>'Waskom Recert'!H399</f>
        <v>281309660</v>
      </c>
      <c r="I881" s="185"/>
      <c r="J881" s="181">
        <f t="shared" si="79"/>
        <v>-1</v>
      </c>
      <c r="K881" s="156"/>
    </row>
    <row r="882" spans="1:11" ht="9.75">
      <c r="A882" s="182" t="s">
        <v>58</v>
      </c>
      <c r="B882" s="183"/>
      <c r="C882" s="183"/>
      <c r="D882" s="184"/>
      <c r="E882" s="183"/>
      <c r="F882" s="156"/>
      <c r="G882" s="156"/>
      <c r="H882" s="193">
        <f>'Waskom Recert'!H400</f>
        <v>-370</v>
      </c>
      <c r="I882" s="185"/>
      <c r="J882" s="181">
        <f t="shared" si="79"/>
        <v>-1</v>
      </c>
      <c r="K882" s="156"/>
    </row>
    <row r="883" spans="1:11" ht="9.75">
      <c r="A883" s="182" t="s">
        <v>59</v>
      </c>
      <c r="B883" s="183"/>
      <c r="C883" s="183"/>
      <c r="D883" s="184"/>
      <c r="E883" s="183"/>
      <c r="F883" s="156"/>
      <c r="G883" s="156"/>
      <c r="H883" s="195"/>
      <c r="I883" s="194"/>
      <c r="J883" s="181"/>
      <c r="K883" s="156"/>
    </row>
    <row r="884" spans="1:11" ht="9.75">
      <c r="A884" s="176" t="s">
        <v>60</v>
      </c>
      <c r="B884" s="189"/>
      <c r="C884" s="189"/>
      <c r="D884" s="189"/>
      <c r="E884" s="189"/>
      <c r="F884" s="189"/>
      <c r="G884" s="189"/>
      <c r="H884" s="195">
        <f>SUM(H872:H882)</f>
        <v>633577670</v>
      </c>
      <c r="I884" s="196">
        <f>SUM(I872:I882)</f>
        <v>0</v>
      </c>
      <c r="J884" s="192">
        <f>(I884-H884)/H884</f>
        <v>-1</v>
      </c>
      <c r="K884" s="156"/>
    </row>
    <row r="885" spans="1:11" ht="9.75">
      <c r="A885" s="197" t="s">
        <v>61</v>
      </c>
      <c r="B885" s="156"/>
      <c r="C885" s="156"/>
      <c r="D885" s="156"/>
      <c r="E885" s="185">
        <f>'Waskom Recert'!E403</f>
        <v>0</v>
      </c>
      <c r="F885" s="185"/>
      <c r="G885" s="198" t="e">
        <f>(F885-E885)/E885</f>
        <v>#DIV/0!</v>
      </c>
      <c r="H885" s="199" t="s">
        <v>94</v>
      </c>
      <c r="I885" s="185"/>
      <c r="J885" s="156"/>
      <c r="K885" s="156"/>
    </row>
    <row r="886" spans="1:11" ht="9.75">
      <c r="A886" s="197" t="s">
        <v>19</v>
      </c>
      <c r="B886" s="156"/>
      <c r="C886" s="156"/>
      <c r="D886" s="156"/>
      <c r="E886" s="200">
        <f>'Waskom Recert'!E404</f>
        <v>0</v>
      </c>
      <c r="F886" s="201"/>
      <c r="G886" s="198" t="e">
        <f>(F886-E886)/E886</f>
        <v>#DIV/0!</v>
      </c>
      <c r="H886" s="199" t="s">
        <v>68</v>
      </c>
      <c r="I886" s="185"/>
      <c r="J886" s="156"/>
      <c r="K886" s="156"/>
    </row>
    <row r="887" spans="1:11" ht="9.75">
      <c r="A887" s="197" t="str">
        <f>A488</f>
        <v>2014 Adpoted/2014 Revenue Neutral Tax Rate</v>
      </c>
      <c r="B887" s="156"/>
      <c r="C887" s="156"/>
      <c r="D887" s="156"/>
      <c r="E887" s="202">
        <f>'Waskom Recert'!E405</f>
        <v>0</v>
      </c>
      <c r="F887" s="202"/>
      <c r="G887" s="198" t="e">
        <f>(F887-E887)/E887</f>
        <v>#DIV/0!</v>
      </c>
      <c r="H887" s="157"/>
      <c r="I887" s="203">
        <f>SUM(I885:I886)</f>
        <v>0</v>
      </c>
      <c r="J887" s="156"/>
      <c r="K887" s="156"/>
    </row>
    <row r="888" spans="1:11" ht="9.75">
      <c r="A888" s="197" t="s">
        <v>62</v>
      </c>
      <c r="B888" s="168"/>
      <c r="C888" s="168"/>
      <c r="D888" s="168"/>
      <c r="E888" s="168"/>
      <c r="F888" s="204"/>
      <c r="G888" s="168"/>
      <c r="H888" s="205">
        <f>(H884-E885)*E887/100+E886</f>
        <v>0</v>
      </c>
      <c r="I888" s="205">
        <f>(I884-F885)*F887/100+F886</f>
        <v>0</v>
      </c>
      <c r="J888" s="181" t="e">
        <f>(I888-H888)/H888</f>
        <v>#DIV/0!</v>
      </c>
      <c r="K888" s="156"/>
    </row>
    <row r="889" spans="1:11" ht="9.75">
      <c r="A889" s="197" t="s">
        <v>18</v>
      </c>
      <c r="B889" s="168"/>
      <c r="C889" s="168"/>
      <c r="D889" s="168"/>
      <c r="E889" s="168"/>
      <c r="F889" s="204"/>
      <c r="G889" s="168"/>
      <c r="H889" s="185">
        <f>'Waskom Recert'!H407</f>
        <v>-2172540</v>
      </c>
      <c r="I889" s="185"/>
      <c r="J889" s="181"/>
      <c r="K889" s="156"/>
    </row>
    <row r="890" spans="1:11" ht="9.75">
      <c r="A890" s="156" t="s">
        <v>17</v>
      </c>
      <c r="B890" s="156"/>
      <c r="C890" s="156"/>
      <c r="D890" s="156"/>
      <c r="E890" s="156"/>
      <c r="F890" s="157"/>
      <c r="G890" s="156"/>
      <c r="H890" s="185">
        <f>'Waskom Recert'!H408</f>
        <v>0</v>
      </c>
      <c r="I890" s="185"/>
      <c r="J890" s="181" t="e">
        <f>(I890-H890)/H890</f>
        <v>#DIV/0!</v>
      </c>
      <c r="K890" s="156"/>
    </row>
  </sheetData>
  <sheetProtection/>
  <printOptions horizontalCentered="1"/>
  <pageMargins left="0.21" right="0.21" top="0.79" bottom="1.4" header="0.5" footer="0.5"/>
  <pageSetup horizontalDpi="600" verticalDpi="600" orientation="landscape" r:id="rId1"/>
  <headerFooter alignWithMargins="0">
    <oddHeader>&amp;C&amp;"Arial,Regular"&amp;A</oddHeader>
  </headerFooter>
  <rowBreaks count="21" manualBreakCount="21">
    <brk id="37" max="10" man="1"/>
    <brk id="75" max="10" man="1"/>
    <brk id="113" max="10" man="1"/>
    <brk id="151" max="10" man="1"/>
    <brk id="189" max="10" man="1"/>
    <brk id="227" max="10" man="1"/>
    <brk id="265" max="10" man="1"/>
    <brk id="303" max="10" man="1"/>
    <brk id="341" max="10" man="1"/>
    <brk id="379" max="10" man="1"/>
    <brk id="417" max="10" man="1"/>
    <brk id="455" max="10" man="1"/>
    <brk id="493" max="10" man="1"/>
    <brk id="531" max="10" man="1"/>
    <brk id="569" max="10" man="1"/>
    <brk id="607" max="10" man="1"/>
    <brk id="645" max="255" man="1"/>
    <brk id="683" max="10" man="1"/>
    <brk id="721" max="10" man="1"/>
    <brk id="759" max="10" man="1"/>
    <brk id="7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K1001"/>
  <sheetViews>
    <sheetView view="pageLayout" workbookViewId="0" topLeftCell="A897">
      <selection activeCell="H911" sqref="A865:H911"/>
    </sheetView>
  </sheetViews>
  <sheetFormatPr defaultColWidth="9.140625" defaultRowHeight="12.75"/>
  <cols>
    <col min="1" max="1" width="9.140625" style="2" customWidth="1"/>
    <col min="2" max="2" width="3.140625" style="2" customWidth="1"/>
    <col min="3" max="3" width="18.7109375" style="2" customWidth="1"/>
    <col min="4" max="4" width="11.7109375" style="2" customWidth="1"/>
    <col min="5" max="5" width="12.140625" style="2" customWidth="1"/>
    <col min="6" max="6" width="23.00390625" style="2" customWidth="1"/>
    <col min="7" max="7" width="11.8515625" style="2" customWidth="1"/>
    <col min="8" max="16384" width="9.140625" style="2" customWidth="1"/>
  </cols>
  <sheetData>
    <row r="2" spans="1:8" ht="12.75">
      <c r="A2" s="412" t="s">
        <v>162</v>
      </c>
      <c r="B2" s="412"/>
      <c r="C2" s="412"/>
      <c r="D2" s="412"/>
      <c r="E2" s="412"/>
      <c r="F2" s="412"/>
      <c r="G2" s="412"/>
      <c r="H2" s="412"/>
    </row>
    <row r="3" spans="2:7" ht="12">
      <c r="B3" s="1"/>
      <c r="C3" s="1"/>
      <c r="D3" s="1"/>
      <c r="E3" s="1"/>
      <c r="F3" s="1"/>
      <c r="G3" s="1"/>
    </row>
    <row r="4" spans="1:7" ht="12.75">
      <c r="A4" s="412"/>
      <c r="B4" s="412"/>
      <c r="C4" s="412"/>
      <c r="D4" s="412"/>
      <c r="E4" s="412"/>
      <c r="F4" s="412"/>
      <c r="G4" s="412"/>
    </row>
    <row r="6" ht="12">
      <c r="B6" s="2" t="s">
        <v>194</v>
      </c>
    </row>
    <row r="7" ht="12">
      <c r="B7" s="2" t="s">
        <v>10</v>
      </c>
    </row>
    <row r="8" ht="12">
      <c r="B8" s="2" t="s">
        <v>11</v>
      </c>
    </row>
    <row r="9" ht="12">
      <c r="B9" s="2" t="s">
        <v>12</v>
      </c>
    </row>
    <row r="15" spans="3:6" ht="12">
      <c r="C15" s="2" t="s">
        <v>13</v>
      </c>
      <c r="F15" s="8" t="e">
        <f>'2019 Certified Values'!#REF!</f>
        <v>#REF!</v>
      </c>
    </row>
    <row r="17" ht="12">
      <c r="C17" s="11" t="s">
        <v>80</v>
      </c>
    </row>
    <row r="18" spans="3:6" ht="12">
      <c r="C18" s="2" t="s">
        <v>15</v>
      </c>
      <c r="F18" s="12">
        <f>'2019 Certified Values'!I19</f>
        <v>340856890</v>
      </c>
    </row>
    <row r="20" ht="12">
      <c r="C20" s="13" t="s">
        <v>81</v>
      </c>
    </row>
    <row r="21" spans="3:6" ht="15">
      <c r="C21" s="14" t="s">
        <v>16</v>
      </c>
      <c r="F21" s="15">
        <f>'2019 Certified Values'!I31</f>
        <v>293921007</v>
      </c>
    </row>
    <row r="23" spans="3:6" ht="12">
      <c r="C23" s="3" t="s">
        <v>17</v>
      </c>
      <c r="F23" s="8">
        <f>'2019 Certified Values'!H37</f>
        <v>23811</v>
      </c>
    </row>
    <row r="25" spans="3:6" ht="12">
      <c r="C25" s="3" t="s">
        <v>18</v>
      </c>
      <c r="F25" s="8">
        <f>'2019 Certified Values'!H36</f>
        <v>2909897</v>
      </c>
    </row>
    <row r="27" spans="3:6" ht="12">
      <c r="C27" s="3" t="s">
        <v>61</v>
      </c>
      <c r="F27" s="8">
        <f>'2019 Certified Values'!F32</f>
        <v>14878899</v>
      </c>
    </row>
    <row r="29" spans="3:6" ht="12">
      <c r="C29" s="3" t="s">
        <v>19</v>
      </c>
      <c r="F29" s="16">
        <f>'2019 Certified Values'!F33</f>
        <v>147428.86</v>
      </c>
    </row>
    <row r="31" spans="3:6" ht="12">
      <c r="C31" s="9" t="s">
        <v>72</v>
      </c>
      <c r="F31" s="66" t="e">
        <f>'2019 Certified Values'!#REF!</f>
        <v>#REF!</v>
      </c>
    </row>
    <row r="32" ht="12">
      <c r="F32" s="5"/>
    </row>
    <row r="33" spans="3:6" ht="12">
      <c r="C33" s="9"/>
      <c r="F33" s="5"/>
    </row>
    <row r="34" ht="12">
      <c r="F34" s="5"/>
    </row>
    <row r="35" spans="3:6" ht="12">
      <c r="C35" s="9"/>
      <c r="F35" s="5"/>
    </row>
    <row r="39" spans="3:6" ht="12">
      <c r="C39" s="17"/>
      <c r="D39" s="17"/>
      <c r="E39" s="6"/>
      <c r="F39" s="17"/>
    </row>
    <row r="40" spans="3:6" ht="12">
      <c r="C40" s="3" t="s">
        <v>20</v>
      </c>
      <c r="F40" s="3" t="s">
        <v>21</v>
      </c>
    </row>
    <row r="42" spans="3:6" ht="12">
      <c r="C42" s="17"/>
      <c r="D42" s="17"/>
      <c r="E42" s="6"/>
      <c r="F42" s="17"/>
    </row>
    <row r="43" spans="3:6" ht="12">
      <c r="C43" s="3" t="s">
        <v>22</v>
      </c>
      <c r="F43" s="3" t="s">
        <v>21</v>
      </c>
    </row>
    <row r="48" spans="1:8" ht="12.75">
      <c r="A48" s="412" t="s">
        <v>23</v>
      </c>
      <c r="B48" s="412"/>
      <c r="C48" s="412"/>
      <c r="D48" s="412"/>
      <c r="E48" s="412"/>
      <c r="F48" s="412"/>
      <c r="G48" s="412"/>
      <c r="H48" s="412"/>
    </row>
    <row r="49" spans="1:7" ht="12.75">
      <c r="A49" s="412"/>
      <c r="B49" s="412"/>
      <c r="C49" s="412"/>
      <c r="D49" s="412"/>
      <c r="E49" s="412"/>
      <c r="F49" s="412"/>
      <c r="G49" s="412"/>
    </row>
    <row r="51" ht="12">
      <c r="B51" s="2" t="s">
        <v>194</v>
      </c>
    </row>
    <row r="52" ht="12">
      <c r="B52" s="2" t="s">
        <v>10</v>
      </c>
    </row>
    <row r="53" ht="12">
      <c r="B53" s="2" t="s">
        <v>11</v>
      </c>
    </row>
    <row r="54" ht="12">
      <c r="B54" s="2" t="s">
        <v>12</v>
      </c>
    </row>
    <row r="60" spans="3:6" ht="12">
      <c r="C60" s="2" t="s">
        <v>13</v>
      </c>
      <c r="F60" s="4">
        <f>'2019 Certified Values'!I53</f>
        <v>3282923660</v>
      </c>
    </row>
    <row r="62" ht="12">
      <c r="C62" s="11" t="s">
        <v>80</v>
      </c>
    </row>
    <row r="63" spans="3:6" ht="12">
      <c r="C63" s="2" t="s">
        <v>15</v>
      </c>
      <c r="F63" s="12">
        <f>'2019 Certified Values'!I57</f>
        <v>3142774720</v>
      </c>
    </row>
    <row r="65" ht="12">
      <c r="C65" s="13" t="s">
        <v>81</v>
      </c>
    </row>
    <row r="66" spans="3:6" ht="15">
      <c r="C66" s="14" t="s">
        <v>16</v>
      </c>
      <c r="F66" s="15">
        <f>'2019 Certified Values'!I69</f>
        <v>2703888336</v>
      </c>
    </row>
    <row r="68" spans="3:6" ht="12">
      <c r="C68" s="3" t="s">
        <v>17</v>
      </c>
      <c r="F68" s="8">
        <f>'2019 Certified Values'!H75</f>
        <v>43846</v>
      </c>
    </row>
    <row r="70" spans="3:6" ht="12">
      <c r="C70" s="3" t="s">
        <v>18</v>
      </c>
      <c r="F70" s="8">
        <f>'2019 Certified Values'!H74</f>
        <v>34847614</v>
      </c>
    </row>
    <row r="72" spans="3:6" ht="12">
      <c r="C72" s="3" t="s">
        <v>151</v>
      </c>
      <c r="F72" s="8">
        <f>'2019 Certified Values'!E70</f>
        <v>130066162</v>
      </c>
    </row>
    <row r="74" spans="3:6" ht="12">
      <c r="C74" s="3" t="s">
        <v>19</v>
      </c>
      <c r="F74" s="7">
        <f>'2019 Certified Values'!E71</f>
        <v>1457102</v>
      </c>
    </row>
    <row r="76" spans="3:6" ht="12">
      <c r="C76" s="9" t="s">
        <v>72</v>
      </c>
      <c r="F76" s="65">
        <f>'2019 Certified Values'!H55</f>
        <v>-3207029</v>
      </c>
    </row>
    <row r="84" spans="3:6" ht="12">
      <c r="C84" s="17"/>
      <c r="D84" s="17"/>
      <c r="E84" s="6"/>
      <c r="F84" s="17"/>
    </row>
    <row r="85" spans="3:6" ht="12">
      <c r="C85" s="3" t="s">
        <v>20</v>
      </c>
      <c r="F85" s="3" t="s">
        <v>21</v>
      </c>
    </row>
    <row r="87" spans="3:6" ht="12">
      <c r="C87" s="17"/>
      <c r="D87" s="17"/>
      <c r="E87" s="6"/>
      <c r="F87" s="17"/>
    </row>
    <row r="88" spans="3:6" ht="12">
      <c r="C88" s="3" t="s">
        <v>22</v>
      </c>
      <c r="F88" s="3" t="s">
        <v>21</v>
      </c>
    </row>
    <row r="93" spans="1:8" ht="12.75">
      <c r="A93" s="412" t="s">
        <v>24</v>
      </c>
      <c r="B93" s="412"/>
      <c r="C93" s="412"/>
      <c r="D93" s="412"/>
      <c r="E93" s="412"/>
      <c r="F93" s="412"/>
      <c r="G93" s="412"/>
      <c r="H93" s="412"/>
    </row>
    <row r="94" spans="1:7" ht="12.75">
      <c r="A94" s="412"/>
      <c r="B94" s="412"/>
      <c r="C94" s="412"/>
      <c r="D94" s="412"/>
      <c r="E94" s="412"/>
      <c r="F94" s="412"/>
      <c r="G94" s="412"/>
    </row>
    <row r="96" ht="12">
      <c r="B96" s="2" t="s">
        <v>194</v>
      </c>
    </row>
    <row r="97" ht="12">
      <c r="B97" s="2" t="s">
        <v>10</v>
      </c>
    </row>
    <row r="98" ht="12">
      <c r="B98" s="2" t="s">
        <v>11</v>
      </c>
    </row>
    <row r="99" ht="12">
      <c r="B99" s="2" t="s">
        <v>12</v>
      </c>
    </row>
    <row r="105" spans="3:6" ht="12">
      <c r="C105" s="2" t="s">
        <v>13</v>
      </c>
      <c r="F105" s="12">
        <f>'2019 Certified Values'!H91</f>
        <v>299934430</v>
      </c>
    </row>
    <row r="107" ht="12">
      <c r="C107" s="11" t="s">
        <v>80</v>
      </c>
    </row>
    <row r="108" spans="3:6" ht="12">
      <c r="C108" s="2" t="s">
        <v>15</v>
      </c>
      <c r="F108" s="12">
        <f>'2019 Certified Values'!I95</f>
        <v>223776638</v>
      </c>
    </row>
    <row r="110" ht="12">
      <c r="C110" s="13" t="s">
        <v>81</v>
      </c>
    </row>
    <row r="111" spans="3:6" ht="15">
      <c r="C111" s="14" t="s">
        <v>16</v>
      </c>
      <c r="F111" s="15">
        <f>'2019 Certified Values'!I107</f>
        <v>166509680</v>
      </c>
    </row>
    <row r="113" spans="3:6" ht="12">
      <c r="C113" s="3" t="s">
        <v>17</v>
      </c>
      <c r="F113" s="8">
        <f>'2019 Certified Values'!H113</f>
        <v>8166</v>
      </c>
    </row>
    <row r="115" spans="3:6" ht="12">
      <c r="C115" s="3" t="s">
        <v>18</v>
      </c>
      <c r="F115" s="8">
        <f>'2019 Certified Values'!H112</f>
        <v>2305033</v>
      </c>
    </row>
    <row r="117" spans="3:6" ht="12">
      <c r="C117" s="3" t="s">
        <v>151</v>
      </c>
      <c r="F117" s="8">
        <f>'2019 Certified Values'!F108</f>
        <v>17990852</v>
      </c>
    </row>
    <row r="119" spans="3:6" ht="12">
      <c r="C119" s="3" t="s">
        <v>19</v>
      </c>
      <c r="F119" s="7">
        <f>'2019 Certified Values'!F109</f>
        <v>175397.88</v>
      </c>
    </row>
    <row r="121" spans="3:6" ht="12">
      <c r="C121" s="9" t="s">
        <v>72</v>
      </c>
      <c r="F121" s="12">
        <f>'2019 Certified Values'!H93</f>
        <v>-862100</v>
      </c>
    </row>
    <row r="129" spans="3:6" ht="12">
      <c r="C129" s="17"/>
      <c r="D129" s="17"/>
      <c r="E129" s="6"/>
      <c r="F129" s="17"/>
    </row>
    <row r="130" spans="3:6" ht="12">
      <c r="C130" s="3" t="s">
        <v>20</v>
      </c>
      <c r="F130" s="3" t="s">
        <v>21</v>
      </c>
    </row>
    <row r="132" spans="3:6" ht="12">
      <c r="C132" s="17"/>
      <c r="D132" s="17"/>
      <c r="E132" s="6"/>
      <c r="F132" s="17"/>
    </row>
    <row r="133" spans="3:6" ht="12">
      <c r="C133" s="3" t="s">
        <v>150</v>
      </c>
      <c r="F133" s="3" t="s">
        <v>21</v>
      </c>
    </row>
    <row r="138" spans="1:8" ht="12.75">
      <c r="A138" s="412" t="s">
        <v>25</v>
      </c>
      <c r="B138" s="412"/>
      <c r="C138" s="412"/>
      <c r="D138" s="412"/>
      <c r="E138" s="412"/>
      <c r="F138" s="412"/>
      <c r="G138" s="412"/>
      <c r="H138" s="412"/>
    </row>
    <row r="139" spans="1:7" ht="12.75">
      <c r="A139" s="412"/>
      <c r="B139" s="412"/>
      <c r="C139" s="412"/>
      <c r="D139" s="412"/>
      <c r="E139" s="412"/>
      <c r="F139" s="412"/>
      <c r="G139" s="412"/>
    </row>
    <row r="141" ht="12">
      <c r="B141" s="2" t="s">
        <v>194</v>
      </c>
    </row>
    <row r="142" ht="12">
      <c r="B142" s="2" t="s">
        <v>10</v>
      </c>
    </row>
    <row r="143" ht="12">
      <c r="B143" s="2" t="s">
        <v>11</v>
      </c>
    </row>
    <row r="144" ht="12">
      <c r="B144" s="2" t="s">
        <v>12</v>
      </c>
    </row>
    <row r="150" spans="3:6" ht="12">
      <c r="C150" s="2" t="s">
        <v>13</v>
      </c>
      <c r="F150" s="12">
        <f>'2019 Certified Values'!I129</f>
        <v>373933570</v>
      </c>
    </row>
    <row r="152" ht="12">
      <c r="C152" s="11" t="s">
        <v>80</v>
      </c>
    </row>
    <row r="153" spans="3:6" ht="12">
      <c r="C153" s="2" t="s">
        <v>15</v>
      </c>
      <c r="F153" s="12">
        <f>'2019 Certified Values'!I133</f>
        <v>276138040</v>
      </c>
    </row>
    <row r="155" ht="12">
      <c r="C155" s="13" t="s">
        <v>81</v>
      </c>
    </row>
    <row r="156" spans="3:6" ht="15">
      <c r="C156" s="14" t="s">
        <v>16</v>
      </c>
      <c r="F156" s="15">
        <f>'2019 Certified Values'!I145</f>
        <v>217023657</v>
      </c>
    </row>
    <row r="158" spans="3:6" ht="12">
      <c r="C158" s="3" t="s">
        <v>17</v>
      </c>
      <c r="F158" s="12">
        <f>'2019 Certified Values'!H151</f>
        <v>12570</v>
      </c>
    </row>
    <row r="160" spans="3:6" ht="12">
      <c r="C160" s="3" t="s">
        <v>18</v>
      </c>
      <c r="F160" s="12">
        <f>'2019 Certified Values'!H150</f>
        <v>1466794</v>
      </c>
    </row>
    <row r="162" spans="3:6" ht="12">
      <c r="C162" s="3" t="s">
        <v>61</v>
      </c>
      <c r="F162" s="8" t="e">
        <f>'2019 Certified Values'!#REF!</f>
        <v>#REF!</v>
      </c>
    </row>
    <row r="164" spans="3:6" ht="12">
      <c r="C164" s="3" t="s">
        <v>19</v>
      </c>
      <c r="F164" s="7" t="e">
        <f>'2019 Certified Values'!#REF!</f>
        <v>#REF!</v>
      </c>
    </row>
    <row r="166" spans="3:6" ht="12">
      <c r="C166" s="9" t="s">
        <v>72</v>
      </c>
      <c r="F166" s="65">
        <f>'2019 Certified Values'!H131</f>
        <v>-597250</v>
      </c>
    </row>
    <row r="174" spans="3:6" ht="12">
      <c r="C174" s="17"/>
      <c r="D174" s="17"/>
      <c r="E174" s="6"/>
      <c r="F174" s="17"/>
    </row>
    <row r="175" spans="3:6" ht="12">
      <c r="C175" s="3" t="s">
        <v>20</v>
      </c>
      <c r="F175" s="3" t="s">
        <v>21</v>
      </c>
    </row>
    <row r="177" spans="3:6" ht="12">
      <c r="C177" s="17"/>
      <c r="D177" s="17"/>
      <c r="E177" s="6"/>
      <c r="F177" s="17"/>
    </row>
    <row r="178" spans="3:6" ht="12">
      <c r="C178" s="3" t="s">
        <v>22</v>
      </c>
      <c r="F178" s="3" t="s">
        <v>21</v>
      </c>
    </row>
    <row r="183" spans="1:8" ht="12.75">
      <c r="A183" s="412" t="s">
        <v>26</v>
      </c>
      <c r="B183" s="412"/>
      <c r="C183" s="412"/>
      <c r="D183" s="412"/>
      <c r="E183" s="412"/>
      <c r="F183" s="412"/>
      <c r="G183" s="412"/>
      <c r="H183" s="412"/>
    </row>
    <row r="184" spans="1:7" ht="12.75">
      <c r="A184" s="412"/>
      <c r="B184" s="412"/>
      <c r="C184" s="412"/>
      <c r="D184" s="412"/>
      <c r="E184" s="412"/>
      <c r="F184" s="412"/>
      <c r="G184" s="412"/>
    </row>
    <row r="186" ht="12">
      <c r="B186" s="2" t="s">
        <v>194</v>
      </c>
    </row>
    <row r="187" ht="12">
      <c r="B187" s="2" t="s">
        <v>10</v>
      </c>
    </row>
    <row r="188" ht="12">
      <c r="B188" s="2" t="s">
        <v>11</v>
      </c>
    </row>
    <row r="189" ht="12">
      <c r="B189" s="2" t="s">
        <v>12</v>
      </c>
    </row>
    <row r="195" spans="3:6" ht="12">
      <c r="C195" s="2" t="s">
        <v>13</v>
      </c>
      <c r="F195" s="12">
        <f>'2019 Certified Values'!I167</f>
        <v>3763446800</v>
      </c>
    </row>
    <row r="197" ht="12">
      <c r="C197" s="11" t="s">
        <v>80</v>
      </c>
    </row>
    <row r="198" spans="3:6" ht="12">
      <c r="C198" s="2" t="s">
        <v>15</v>
      </c>
      <c r="F198" s="12">
        <f>'2019 Certified Values'!I171</f>
        <v>3535474773</v>
      </c>
    </row>
    <row r="200" ht="12">
      <c r="C200" s="13" t="s">
        <v>81</v>
      </c>
    </row>
    <row r="201" spans="3:6" ht="15">
      <c r="C201" s="14" t="s">
        <v>16</v>
      </c>
      <c r="F201" s="15">
        <f>'2019 Certified Values'!I183</f>
        <v>2638802984</v>
      </c>
    </row>
    <row r="203" spans="3:6" ht="12">
      <c r="C203" s="3" t="s">
        <v>17</v>
      </c>
      <c r="F203" s="8">
        <f>'2019 Certified Values'!I189</f>
        <v>105850</v>
      </c>
    </row>
    <row r="205" spans="3:6" ht="12">
      <c r="C205" s="3" t="s">
        <v>18</v>
      </c>
      <c r="F205" s="8">
        <f>'2019 Certified Values'!I188</f>
        <v>57117071</v>
      </c>
    </row>
    <row r="207" spans="3:6" ht="12">
      <c r="C207" s="3" t="s">
        <v>61</v>
      </c>
      <c r="F207" s="8">
        <f>'2019 Certified Values'!F184</f>
        <v>17708097</v>
      </c>
    </row>
    <row r="209" spans="3:6" ht="12">
      <c r="C209" s="3" t="s">
        <v>19</v>
      </c>
      <c r="F209" s="18">
        <f>'2019 Certified Values'!F185</f>
        <v>1589606.87</v>
      </c>
    </row>
    <row r="211" spans="3:6" ht="12">
      <c r="C211" s="9" t="s">
        <v>72</v>
      </c>
      <c r="F211" s="65">
        <f>'2019 Certified Values'!H169</f>
        <v>-3216321</v>
      </c>
    </row>
    <row r="219" spans="3:6" ht="12">
      <c r="C219" s="17"/>
      <c r="D219" s="17"/>
      <c r="E219" s="6"/>
      <c r="F219" s="17"/>
    </row>
    <row r="220" spans="3:6" ht="12">
      <c r="C220" s="3" t="s">
        <v>20</v>
      </c>
      <c r="F220" s="3" t="s">
        <v>21</v>
      </c>
    </row>
    <row r="222" spans="3:6" ht="12">
      <c r="C222" s="17"/>
      <c r="D222" s="17"/>
      <c r="E222" s="6"/>
      <c r="F222" s="17"/>
    </row>
    <row r="223" spans="3:6" ht="12">
      <c r="C223" s="3" t="s">
        <v>22</v>
      </c>
      <c r="F223" s="9" t="s">
        <v>21</v>
      </c>
    </row>
    <row r="227" spans="1:8" ht="12.75">
      <c r="A227" s="412" t="s">
        <v>163</v>
      </c>
      <c r="B227" s="412"/>
      <c r="C227" s="412"/>
      <c r="D227" s="412"/>
      <c r="E227" s="412"/>
      <c r="F227" s="412"/>
      <c r="G227" s="412"/>
      <c r="H227" s="412"/>
    </row>
    <row r="228" spans="1:7" ht="12.75">
      <c r="A228" s="412"/>
      <c r="B228" s="412"/>
      <c r="C228" s="412"/>
      <c r="D228" s="412"/>
      <c r="E228" s="412"/>
      <c r="F228" s="412"/>
      <c r="G228" s="412"/>
    </row>
    <row r="230" ht="12">
      <c r="B230" s="2" t="s">
        <v>194</v>
      </c>
    </row>
    <row r="231" ht="12">
      <c r="B231" s="2" t="s">
        <v>10</v>
      </c>
    </row>
    <row r="232" ht="12">
      <c r="B232" s="2" t="s">
        <v>11</v>
      </c>
    </row>
    <row r="233" ht="12">
      <c r="B233" s="2" t="s">
        <v>12</v>
      </c>
    </row>
    <row r="239" spans="3:6" ht="12">
      <c r="C239" s="2" t="s">
        <v>13</v>
      </c>
      <c r="F239" s="12">
        <f>'2019 Certified Values'!I205</f>
        <v>16255250</v>
      </c>
    </row>
    <row r="241" ht="12">
      <c r="C241" s="11" t="s">
        <v>80</v>
      </c>
    </row>
    <row r="242" spans="3:6" ht="12">
      <c r="C242" s="2" t="s">
        <v>15</v>
      </c>
      <c r="F242" s="12">
        <f>'2019 Certified Values'!I209</f>
        <v>9144480</v>
      </c>
    </row>
    <row r="244" ht="12">
      <c r="C244" s="13" t="s">
        <v>81</v>
      </c>
    </row>
    <row r="245" spans="3:6" ht="15">
      <c r="C245" s="14" t="s">
        <v>16</v>
      </c>
      <c r="F245" s="15">
        <f>'2019 Certified Values'!I221</f>
        <v>8096980</v>
      </c>
    </row>
    <row r="247" spans="3:6" ht="12">
      <c r="C247" s="3" t="s">
        <v>17</v>
      </c>
      <c r="F247" s="8">
        <f>'2019 Certified Values'!I227</f>
        <v>141</v>
      </c>
    </row>
    <row r="249" spans="3:6" ht="12">
      <c r="C249" s="3" t="s">
        <v>18</v>
      </c>
      <c r="F249" s="8">
        <f>'2019 Certified Values'!I226</f>
        <v>14220</v>
      </c>
    </row>
    <row r="251" spans="3:6" ht="12">
      <c r="C251" s="3" t="s">
        <v>61</v>
      </c>
      <c r="F251" s="5">
        <f>'2019 Certified Values'!F222</f>
        <v>1684180</v>
      </c>
    </row>
    <row r="253" spans="3:6" ht="12">
      <c r="C253" s="3" t="s">
        <v>19</v>
      </c>
      <c r="F253" s="18">
        <f>'2019 Certified Values'!F223</f>
        <v>11778.06</v>
      </c>
    </row>
    <row r="255" spans="3:6" ht="12">
      <c r="C255" s="9" t="s">
        <v>72</v>
      </c>
      <c r="F255" s="12">
        <f>'2019 Certified Values'!I207</f>
        <v>-620</v>
      </c>
    </row>
    <row r="263" spans="3:6" ht="12">
      <c r="C263" s="17"/>
      <c r="D263" s="17"/>
      <c r="E263" s="6"/>
      <c r="F263" s="17"/>
    </row>
    <row r="264" spans="3:6" ht="12">
      <c r="C264" s="3" t="s">
        <v>20</v>
      </c>
      <c r="F264" s="3" t="s">
        <v>21</v>
      </c>
    </row>
    <row r="266" spans="3:6" ht="12">
      <c r="C266" s="17"/>
      <c r="D266" s="17"/>
      <c r="E266" s="6"/>
      <c r="F266" s="17"/>
    </row>
    <row r="267" spans="3:6" ht="12">
      <c r="C267" s="3" t="s">
        <v>22</v>
      </c>
      <c r="F267" s="3" t="s">
        <v>21</v>
      </c>
    </row>
    <row r="273" spans="1:7" ht="12.75">
      <c r="A273" s="214"/>
      <c r="B273" s="214"/>
      <c r="C273" s="214"/>
      <c r="D273" s="214"/>
      <c r="E273" s="214"/>
      <c r="F273" s="214"/>
      <c r="G273" s="214"/>
    </row>
    <row r="274" spans="1:8" ht="12.75">
      <c r="A274" s="412"/>
      <c r="B274" s="412"/>
      <c r="C274" s="412"/>
      <c r="D274" s="412"/>
      <c r="E274" s="412"/>
      <c r="F274" s="412"/>
      <c r="G274" s="412"/>
      <c r="H274" s="412"/>
    </row>
    <row r="275" spans="1:7" ht="12.75">
      <c r="A275" s="214"/>
      <c r="B275" s="214"/>
      <c r="C275" s="214"/>
      <c r="D275" s="214"/>
      <c r="E275" s="214"/>
      <c r="F275" s="214"/>
      <c r="G275" s="214"/>
    </row>
    <row r="276" spans="1:8" ht="12.75">
      <c r="A276" s="412" t="s">
        <v>164</v>
      </c>
      <c r="B276" s="412"/>
      <c r="C276" s="412"/>
      <c r="D276" s="412"/>
      <c r="E276" s="412"/>
      <c r="F276" s="412"/>
      <c r="G276" s="412"/>
      <c r="H276" s="412"/>
    </row>
    <row r="278" ht="12">
      <c r="B278" s="2" t="s">
        <v>194</v>
      </c>
    </row>
    <row r="279" ht="12">
      <c r="B279" s="2" t="s">
        <v>10</v>
      </c>
    </row>
    <row r="280" ht="12">
      <c r="B280" s="2" t="s">
        <v>11</v>
      </c>
    </row>
    <row r="281" ht="12">
      <c r="B281" s="2" t="s">
        <v>12</v>
      </c>
    </row>
    <row r="287" spans="3:6" ht="12">
      <c r="C287" s="2" t="s">
        <v>13</v>
      </c>
      <c r="F287" s="12">
        <f>'2019 Certified Values'!I243</f>
        <v>4231530</v>
      </c>
    </row>
    <row r="289" ht="12">
      <c r="C289" s="11" t="s">
        <v>80</v>
      </c>
    </row>
    <row r="290" spans="3:6" ht="12">
      <c r="C290" s="2" t="s">
        <v>15</v>
      </c>
      <c r="F290" s="12">
        <f>'2019 Certified Values'!I247</f>
        <v>3254370</v>
      </c>
    </row>
    <row r="292" ht="12">
      <c r="C292" s="13" t="s">
        <v>81</v>
      </c>
    </row>
    <row r="293" spans="3:6" ht="15">
      <c r="C293" s="14" t="s">
        <v>16</v>
      </c>
      <c r="F293" s="15">
        <f>'2019 Certified Values'!I259</f>
        <v>2741295</v>
      </c>
    </row>
    <row r="295" spans="3:6" ht="12">
      <c r="C295" s="3" t="s">
        <v>17</v>
      </c>
      <c r="F295" s="8">
        <f>'2019 Certified Values'!I265</f>
        <v>84</v>
      </c>
    </row>
    <row r="297" spans="3:6" ht="12">
      <c r="C297" s="3" t="s">
        <v>18</v>
      </c>
      <c r="F297" s="8">
        <f>'2019 Certified Values'!I264</f>
        <v>0</v>
      </c>
    </row>
    <row r="299" spans="3:6" ht="12">
      <c r="C299" s="3" t="s">
        <v>61</v>
      </c>
      <c r="F299" s="5">
        <f>'2019 Certified Values'!F260</f>
        <v>126229</v>
      </c>
    </row>
    <row r="301" spans="3:6" ht="12">
      <c r="C301" s="3" t="s">
        <v>19</v>
      </c>
      <c r="F301" s="18">
        <f>'2019 Certified Values'!F261</f>
        <v>1199.23</v>
      </c>
    </row>
    <row r="303" spans="3:6" ht="12">
      <c r="C303" s="9" t="s">
        <v>72</v>
      </c>
      <c r="F303" s="12">
        <f>'2019 Certified Values'!I245</f>
        <v>-36570</v>
      </c>
    </row>
    <row r="311" spans="3:6" ht="12">
      <c r="C311" s="17"/>
      <c r="D311" s="17"/>
      <c r="E311" s="6"/>
      <c r="F311" s="17"/>
    </row>
    <row r="312" spans="3:6" ht="12">
      <c r="C312" s="3" t="s">
        <v>20</v>
      </c>
      <c r="F312" s="3" t="s">
        <v>21</v>
      </c>
    </row>
    <row r="314" spans="3:6" ht="12">
      <c r="C314" s="17"/>
      <c r="D314" s="17"/>
      <c r="E314" s="6"/>
      <c r="F314" s="17"/>
    </row>
    <row r="315" spans="3:6" ht="12">
      <c r="C315" s="3" t="s">
        <v>22</v>
      </c>
      <c r="F315" s="3" t="s">
        <v>21</v>
      </c>
    </row>
    <row r="320" spans="1:8" ht="12.75">
      <c r="A320" s="412"/>
      <c r="B320" s="412"/>
      <c r="C320" s="412"/>
      <c r="D320" s="412"/>
      <c r="E320" s="412"/>
      <c r="F320" s="412"/>
      <c r="G320" s="412"/>
      <c r="H320" s="412"/>
    </row>
    <row r="321" spans="1:7" ht="12.75">
      <c r="A321" s="412"/>
      <c r="B321" s="412"/>
      <c r="C321" s="412"/>
      <c r="D321" s="412"/>
      <c r="E321" s="412"/>
      <c r="F321" s="412"/>
      <c r="G321" s="412"/>
    </row>
    <row r="325" spans="1:8" ht="12.75">
      <c r="A325" s="412" t="s">
        <v>27</v>
      </c>
      <c r="B325" s="412"/>
      <c r="C325" s="412"/>
      <c r="D325" s="412"/>
      <c r="E325" s="412"/>
      <c r="F325" s="412"/>
      <c r="G325" s="412"/>
      <c r="H325" s="412"/>
    </row>
    <row r="327" ht="12">
      <c r="B327" s="2" t="s">
        <v>194</v>
      </c>
    </row>
    <row r="328" ht="12">
      <c r="B328" s="2" t="s">
        <v>10</v>
      </c>
    </row>
    <row r="329" ht="12">
      <c r="B329" s="2" t="s">
        <v>11</v>
      </c>
    </row>
    <row r="330" ht="12">
      <c r="B330" s="2" t="s">
        <v>12</v>
      </c>
    </row>
    <row r="332" spans="3:6" ht="12">
      <c r="C332" s="2" t="s">
        <v>13</v>
      </c>
      <c r="F332" s="12">
        <v>517586510</v>
      </c>
    </row>
    <row r="334" ht="12">
      <c r="C334" s="11" t="s">
        <v>80</v>
      </c>
    </row>
    <row r="335" spans="3:6" ht="12">
      <c r="C335" s="2" t="s">
        <v>15</v>
      </c>
      <c r="F335" s="12">
        <v>475134910</v>
      </c>
    </row>
    <row r="337" ht="12">
      <c r="C337" s="13" t="s">
        <v>81</v>
      </c>
    </row>
    <row r="338" spans="3:6" ht="15">
      <c r="C338" s="14" t="s">
        <v>16</v>
      </c>
      <c r="F338" s="15">
        <v>425198029</v>
      </c>
    </row>
    <row r="340" spans="3:6" ht="12">
      <c r="C340" s="3" t="s">
        <v>17</v>
      </c>
      <c r="F340" s="8">
        <v>15517</v>
      </c>
    </row>
    <row r="342" spans="3:6" ht="12">
      <c r="C342" s="3" t="s">
        <v>18</v>
      </c>
      <c r="F342" s="8">
        <v>4883353</v>
      </c>
    </row>
    <row r="344" spans="3:6" ht="12">
      <c r="C344" s="3" t="s">
        <v>61</v>
      </c>
      <c r="F344" s="5">
        <v>17740959</v>
      </c>
    </row>
    <row r="346" spans="3:6" ht="12">
      <c r="C346" s="3" t="s">
        <v>19</v>
      </c>
      <c r="F346" s="18">
        <v>141192.26</v>
      </c>
    </row>
    <row r="348" spans="3:6" ht="12">
      <c r="C348" s="9" t="s">
        <v>72</v>
      </c>
      <c r="F348" s="12">
        <v>-513240</v>
      </c>
    </row>
    <row r="356" spans="3:6" ht="12">
      <c r="C356" s="17"/>
      <c r="D356" s="17"/>
      <c r="E356" s="6"/>
      <c r="F356" s="17"/>
    </row>
    <row r="357" spans="3:6" ht="12">
      <c r="C357" s="3" t="s">
        <v>20</v>
      </c>
      <c r="F357" s="3" t="s">
        <v>21</v>
      </c>
    </row>
    <row r="359" spans="3:6" ht="12">
      <c r="C359" s="17"/>
      <c r="D359" s="17"/>
      <c r="E359" s="6"/>
      <c r="F359" s="17"/>
    </row>
    <row r="360" spans="3:6" ht="12">
      <c r="C360" s="3" t="s">
        <v>22</v>
      </c>
      <c r="F360" s="3" t="s">
        <v>21</v>
      </c>
    </row>
    <row r="365" spans="1:8" ht="12.75">
      <c r="A365" s="412" t="s">
        <v>28</v>
      </c>
      <c r="B365" s="412"/>
      <c r="C365" s="412"/>
      <c r="D365" s="412"/>
      <c r="E365" s="412"/>
      <c r="F365" s="412"/>
      <c r="G365" s="412"/>
      <c r="H365" s="412"/>
    </row>
    <row r="366" spans="2:7" ht="12">
      <c r="B366" s="1"/>
      <c r="C366" s="1"/>
      <c r="D366" s="1"/>
      <c r="E366" s="1"/>
      <c r="F366" s="1"/>
      <c r="G366" s="1"/>
    </row>
    <row r="368" ht="12">
      <c r="B368" s="2" t="s">
        <v>194</v>
      </c>
    </row>
    <row r="369" ht="12">
      <c r="B369" s="2" t="s">
        <v>10</v>
      </c>
    </row>
    <row r="370" ht="12">
      <c r="B370" s="2" t="s">
        <v>11</v>
      </c>
    </row>
    <row r="371" ht="12">
      <c r="B371" s="2" t="s">
        <v>12</v>
      </c>
    </row>
    <row r="377" spans="3:6" ht="12">
      <c r="C377" s="2" t="s">
        <v>13</v>
      </c>
      <c r="F377" s="12">
        <f>'2019 Certified Values'!I395</f>
        <v>286786030</v>
      </c>
    </row>
    <row r="379" ht="12">
      <c r="C379" s="11" t="s">
        <v>80</v>
      </c>
    </row>
    <row r="380" spans="3:6" ht="12">
      <c r="C380" s="2" t="s">
        <v>15</v>
      </c>
      <c r="F380" s="12">
        <f>'2019 Certified Values'!I399</f>
        <v>284879990</v>
      </c>
    </row>
    <row r="382" ht="12">
      <c r="C382" s="13" t="s">
        <v>81</v>
      </c>
    </row>
    <row r="383" spans="3:6" ht="15">
      <c r="C383" s="14" t="s">
        <v>16</v>
      </c>
      <c r="F383" s="15">
        <f>'2019 Certified Values'!I411</f>
        <v>240244657</v>
      </c>
    </row>
    <row r="385" spans="3:6" ht="12">
      <c r="C385" s="3" t="s">
        <v>17</v>
      </c>
      <c r="F385" s="8">
        <f>'2019 Certified Values'!H417</f>
        <v>1878</v>
      </c>
    </row>
    <row r="387" spans="3:6" ht="12">
      <c r="C387" s="3" t="s">
        <v>18</v>
      </c>
      <c r="F387" s="8">
        <f>'2019 Certified Values'!H416</f>
        <v>11027240</v>
      </c>
    </row>
    <row r="389" spans="3:6" ht="12">
      <c r="C389" s="9" t="s">
        <v>72</v>
      </c>
      <c r="F389" s="12">
        <f>'2019 Certified Values'!I397</f>
        <v>-91900</v>
      </c>
    </row>
    <row r="390" ht="12">
      <c r="F390" s="5"/>
    </row>
    <row r="391" spans="3:6" ht="12">
      <c r="C391" s="9"/>
      <c r="F391" s="65"/>
    </row>
    <row r="392" ht="12">
      <c r="F392" s="5"/>
    </row>
    <row r="393" spans="3:6" ht="12">
      <c r="C393" s="9"/>
      <c r="F393" s="65"/>
    </row>
    <row r="401" spans="3:6" ht="12">
      <c r="C401" s="17"/>
      <c r="D401" s="17"/>
      <c r="E401" s="6"/>
      <c r="F401" s="17"/>
    </row>
    <row r="402" spans="3:6" ht="12">
      <c r="C402" s="3" t="s">
        <v>20</v>
      </c>
      <c r="F402" s="3" t="s">
        <v>21</v>
      </c>
    </row>
    <row r="404" spans="3:6" ht="12">
      <c r="C404" s="17"/>
      <c r="D404" s="17"/>
      <c r="E404" s="6"/>
      <c r="F404" s="17"/>
    </row>
    <row r="405" spans="3:6" ht="12">
      <c r="C405" s="3" t="s">
        <v>22</v>
      </c>
      <c r="F405" s="3" t="s">
        <v>21</v>
      </c>
    </row>
    <row r="406" spans="3:6" ht="12">
      <c r="C406" s="3"/>
      <c r="F406" s="3"/>
    </row>
    <row r="407" spans="3:6" ht="12">
      <c r="C407" s="3"/>
      <c r="F407" s="3"/>
    </row>
    <row r="410" spans="1:8" ht="12.75">
      <c r="A410" s="412" t="s">
        <v>165</v>
      </c>
      <c r="B410" s="412"/>
      <c r="C410" s="412"/>
      <c r="D410" s="412"/>
      <c r="E410" s="412"/>
      <c r="F410" s="412"/>
      <c r="G410" s="412"/>
      <c r="H410" s="412"/>
    </row>
    <row r="413" ht="12">
      <c r="B413" s="2" t="s">
        <v>194</v>
      </c>
    </row>
    <row r="414" ht="12">
      <c r="B414" s="2" t="s">
        <v>10</v>
      </c>
    </row>
    <row r="415" ht="12">
      <c r="B415" s="2" t="s">
        <v>11</v>
      </c>
    </row>
    <row r="416" ht="12">
      <c r="B416" s="2" t="s">
        <v>12</v>
      </c>
    </row>
    <row r="422" spans="3:6" ht="12">
      <c r="C422" s="2" t="s">
        <v>13</v>
      </c>
      <c r="F422" s="12">
        <f>'2019 Certified Values'!I433</f>
        <v>0</v>
      </c>
    </row>
    <row r="424" ht="12">
      <c r="C424" s="11" t="s">
        <v>80</v>
      </c>
    </row>
    <row r="425" spans="3:6" ht="12">
      <c r="C425" s="2" t="s">
        <v>15</v>
      </c>
      <c r="F425" s="12">
        <f>'2019 Certified Values'!I437</f>
        <v>0</v>
      </c>
    </row>
    <row r="427" ht="12">
      <c r="C427" s="13" t="s">
        <v>81</v>
      </c>
    </row>
    <row r="428" spans="3:6" ht="15">
      <c r="C428" s="14" t="s">
        <v>16</v>
      </c>
      <c r="F428" s="15">
        <f>'2019 Certified Values'!I449</f>
        <v>0</v>
      </c>
    </row>
    <row r="430" spans="3:6" ht="12">
      <c r="C430" s="3" t="s">
        <v>17</v>
      </c>
      <c r="F430" s="8">
        <f>'2019 Certified Values'!H455</f>
        <v>1435</v>
      </c>
    </row>
    <row r="432" spans="3:6" ht="12">
      <c r="C432" s="3" t="s">
        <v>18</v>
      </c>
      <c r="F432" s="8">
        <f>'2019 Certified Values'!H454</f>
        <v>4896850</v>
      </c>
    </row>
    <row r="434" spans="3:6" ht="12">
      <c r="C434" s="9" t="s">
        <v>72</v>
      </c>
      <c r="F434" s="12">
        <f>'2019 Certified Values'!I435</f>
        <v>0</v>
      </c>
    </row>
    <row r="435" ht="12">
      <c r="F435" s="5"/>
    </row>
    <row r="436" spans="3:6" ht="12">
      <c r="C436" s="9"/>
      <c r="F436" s="65"/>
    </row>
    <row r="437" ht="12">
      <c r="F437" s="5"/>
    </row>
    <row r="438" spans="3:6" ht="12">
      <c r="C438" s="9"/>
      <c r="F438" s="65"/>
    </row>
    <row r="446" spans="3:6" ht="12">
      <c r="C446" s="17"/>
      <c r="D446" s="17"/>
      <c r="E446" s="6"/>
      <c r="F446" s="17"/>
    </row>
    <row r="447" spans="3:6" ht="12">
      <c r="C447" s="3" t="s">
        <v>20</v>
      </c>
      <c r="F447" s="3" t="s">
        <v>21</v>
      </c>
    </row>
    <row r="449" spans="3:6" ht="12">
      <c r="C449" s="17"/>
      <c r="D449" s="17"/>
      <c r="E449" s="6"/>
      <c r="F449" s="17"/>
    </row>
    <row r="450" spans="3:6" ht="12">
      <c r="C450" s="3" t="s">
        <v>22</v>
      </c>
      <c r="F450" s="3" t="s">
        <v>21</v>
      </c>
    </row>
    <row r="456" spans="1:8" ht="12.75">
      <c r="A456" s="412"/>
      <c r="B456" s="412"/>
      <c r="C456" s="412"/>
      <c r="D456" s="412"/>
      <c r="E456" s="412"/>
      <c r="F456" s="412"/>
      <c r="G456" s="412"/>
      <c r="H456" s="412"/>
    </row>
    <row r="457" spans="2:7" ht="12">
      <c r="B457" s="1"/>
      <c r="C457" s="1"/>
      <c r="D457" s="1"/>
      <c r="E457" s="1"/>
      <c r="F457" s="1"/>
      <c r="G457" s="1"/>
    </row>
    <row r="459" spans="1:8" ht="12.75">
      <c r="A459" s="282"/>
      <c r="B459" s="282"/>
      <c r="C459" s="282"/>
      <c r="D459" s="282"/>
      <c r="E459" s="75" t="s">
        <v>6</v>
      </c>
      <c r="F459" s="282"/>
      <c r="G459" s="282"/>
      <c r="H459" s="282"/>
    </row>
    <row r="461" ht="12">
      <c r="B461" s="2" t="s">
        <v>194</v>
      </c>
    </row>
    <row r="462" ht="12">
      <c r="B462" s="2" t="s">
        <v>10</v>
      </c>
    </row>
    <row r="463" ht="12">
      <c r="B463" s="2" t="s">
        <v>11</v>
      </c>
    </row>
    <row r="464" ht="12">
      <c r="B464" s="2" t="s">
        <v>12</v>
      </c>
    </row>
    <row r="468" spans="3:6" ht="12">
      <c r="C468" s="2" t="s">
        <v>13</v>
      </c>
      <c r="F468" s="12">
        <f>'2019 Certified Values'!I357</f>
        <v>0</v>
      </c>
    </row>
    <row r="470" ht="12">
      <c r="C470" s="11" t="s">
        <v>80</v>
      </c>
    </row>
    <row r="471" spans="3:6" ht="12">
      <c r="C471" s="2" t="s">
        <v>15</v>
      </c>
      <c r="F471" s="12">
        <f>'2019 Certified Values'!I361</f>
        <v>0</v>
      </c>
    </row>
    <row r="473" ht="12">
      <c r="C473" s="13" t="s">
        <v>81</v>
      </c>
    </row>
    <row r="474" spans="3:6" ht="15">
      <c r="C474" s="14" t="s">
        <v>16</v>
      </c>
      <c r="F474" s="15">
        <f>'2019 Certified Values'!I373</f>
        <v>0</v>
      </c>
    </row>
    <row r="476" spans="3:6" ht="12">
      <c r="C476" s="3" t="s">
        <v>17</v>
      </c>
      <c r="F476" s="8">
        <f>'2019 Certified Values'!H379</f>
        <v>17825</v>
      </c>
    </row>
    <row r="478" spans="3:6" ht="12">
      <c r="C478" s="3" t="s">
        <v>18</v>
      </c>
      <c r="F478" s="8">
        <f>'2019 Certified Values'!H378</f>
        <v>4935314</v>
      </c>
    </row>
    <row r="480" spans="3:6" ht="12">
      <c r="C480" s="9" t="s">
        <v>72</v>
      </c>
      <c r="F480" s="12">
        <f>'2019 Certified Values'!I359</f>
        <v>0</v>
      </c>
    </row>
    <row r="492" spans="3:6" ht="12">
      <c r="C492" s="17"/>
      <c r="D492" s="17"/>
      <c r="E492" s="6"/>
      <c r="F492" s="17"/>
    </row>
    <row r="493" spans="3:6" ht="12">
      <c r="C493" s="3" t="s">
        <v>20</v>
      </c>
      <c r="F493" s="3" t="s">
        <v>21</v>
      </c>
    </row>
    <row r="495" spans="3:6" ht="12">
      <c r="C495" s="17"/>
      <c r="D495" s="17"/>
      <c r="E495" s="6"/>
      <c r="F495" s="17"/>
    </row>
    <row r="496" spans="3:6" ht="12">
      <c r="C496" s="3" t="s">
        <v>22</v>
      </c>
      <c r="F496" s="9" t="s">
        <v>21</v>
      </c>
    </row>
    <row r="501" spans="1:8" ht="12.75">
      <c r="A501" s="412" t="s">
        <v>30</v>
      </c>
      <c r="B501" s="412"/>
      <c r="C501" s="412"/>
      <c r="D501" s="412"/>
      <c r="E501" s="412"/>
      <c r="F501" s="412"/>
      <c r="G501" s="412"/>
      <c r="H501" s="412"/>
    </row>
    <row r="502" spans="2:7" ht="12">
      <c r="B502" s="1"/>
      <c r="C502" s="1"/>
      <c r="D502" s="1"/>
      <c r="E502" s="1"/>
      <c r="F502" s="1"/>
      <c r="G502" s="1"/>
    </row>
    <row r="504" ht="12">
      <c r="B504" s="2" t="s">
        <v>194</v>
      </c>
    </row>
    <row r="505" ht="12">
      <c r="B505" s="2" t="s">
        <v>10</v>
      </c>
    </row>
    <row r="506" ht="12">
      <c r="B506" s="2" t="s">
        <v>11</v>
      </c>
    </row>
    <row r="507" ht="12">
      <c r="B507" s="2" t="s">
        <v>12</v>
      </c>
    </row>
    <row r="513" spans="3:6" ht="12">
      <c r="C513" s="2" t="s">
        <v>13</v>
      </c>
      <c r="F513" s="12">
        <v>168316540</v>
      </c>
    </row>
    <row r="515" ht="12">
      <c r="C515" s="11" t="s">
        <v>80</v>
      </c>
    </row>
    <row r="516" spans="3:6" ht="12">
      <c r="C516" s="2" t="s">
        <v>15</v>
      </c>
      <c r="F516" s="12">
        <v>167739390</v>
      </c>
    </row>
    <row r="518" ht="12">
      <c r="C518" s="13" t="s">
        <v>81</v>
      </c>
    </row>
    <row r="519" spans="3:6" ht="15">
      <c r="C519" s="14" t="s">
        <v>16</v>
      </c>
      <c r="F519" s="15">
        <v>149401584</v>
      </c>
    </row>
    <row r="521" spans="3:6" ht="12">
      <c r="C521" s="3" t="s">
        <v>17</v>
      </c>
      <c r="F521" s="8">
        <v>3065</v>
      </c>
    </row>
    <row r="523" spans="3:6" ht="12">
      <c r="C523" s="3" t="s">
        <v>18</v>
      </c>
      <c r="F523" s="8">
        <f>'2019 Certified Values'!H492</f>
        <v>633890</v>
      </c>
    </row>
    <row r="525" spans="3:6" ht="12">
      <c r="C525" s="9" t="s">
        <v>72</v>
      </c>
      <c r="F525" s="12">
        <f>'2019 Certified Values'!I473</f>
        <v>0</v>
      </c>
    </row>
    <row r="537" spans="3:6" ht="12">
      <c r="C537" s="17"/>
      <c r="D537" s="17"/>
      <c r="E537" s="6"/>
      <c r="F537" s="17"/>
    </row>
    <row r="538" spans="3:6" ht="12">
      <c r="C538" s="3" t="s">
        <v>20</v>
      </c>
      <c r="F538" s="3" t="s">
        <v>21</v>
      </c>
    </row>
    <row r="540" spans="3:6" ht="12">
      <c r="C540" s="17"/>
      <c r="D540" s="17"/>
      <c r="E540" s="6"/>
      <c r="F540" s="17"/>
    </row>
    <row r="541" spans="3:6" ht="12">
      <c r="C541" s="3" t="s">
        <v>22</v>
      </c>
      <c r="F541" s="3" t="s">
        <v>21</v>
      </c>
    </row>
    <row r="546" spans="1:8" ht="12.75">
      <c r="A546" s="412" t="s">
        <v>31</v>
      </c>
      <c r="B546" s="412"/>
      <c r="C546" s="412"/>
      <c r="D546" s="412"/>
      <c r="E546" s="412"/>
      <c r="F546" s="412"/>
      <c r="G546" s="412"/>
      <c r="H546" s="412"/>
    </row>
    <row r="547" spans="2:7" ht="12">
      <c r="B547" s="1"/>
      <c r="C547" s="1"/>
      <c r="D547" s="1"/>
      <c r="E547" s="1"/>
      <c r="F547" s="1"/>
      <c r="G547" s="1"/>
    </row>
    <row r="549" ht="12">
      <c r="B549" s="2" t="s">
        <v>194</v>
      </c>
    </row>
    <row r="550" ht="12">
      <c r="B550" s="2" t="s">
        <v>10</v>
      </c>
    </row>
    <row r="551" ht="12">
      <c r="B551" s="2" t="s">
        <v>11</v>
      </c>
    </row>
    <row r="552" ht="12">
      <c r="B552" s="2" t="s">
        <v>12</v>
      </c>
    </row>
    <row r="558" spans="3:6" ht="12">
      <c r="C558" s="2" t="s">
        <v>13</v>
      </c>
      <c r="F558" s="12">
        <f>'2019 Certified Values'!I319</f>
        <v>8659181810</v>
      </c>
    </row>
    <row r="560" ht="12">
      <c r="C560" s="11" t="s">
        <v>80</v>
      </c>
    </row>
    <row r="561" spans="3:6" ht="12">
      <c r="C561" s="2" t="s">
        <v>15</v>
      </c>
      <c r="F561" s="12">
        <f>'2019 Certified Values'!I323</f>
        <v>8001366031</v>
      </c>
    </row>
    <row r="563" ht="12">
      <c r="C563" s="13" t="s">
        <v>81</v>
      </c>
    </row>
    <row r="564" spans="3:6" ht="15">
      <c r="C564" s="14" t="s">
        <v>16</v>
      </c>
      <c r="F564" s="15">
        <f>'2019 Certified Values'!I335</f>
        <v>6637326104</v>
      </c>
    </row>
    <row r="566" spans="3:6" ht="12">
      <c r="C566" s="3" t="s">
        <v>17</v>
      </c>
      <c r="F566" s="8">
        <f>'2019 Certified Values'!H341</f>
        <v>201209</v>
      </c>
    </row>
    <row r="568" spans="3:6" ht="12">
      <c r="C568" s="3" t="s">
        <v>18</v>
      </c>
      <c r="F568" s="8">
        <f>'2019 Certified Values'!H340</f>
        <v>59020876</v>
      </c>
    </row>
    <row r="570" spans="3:6" ht="12">
      <c r="C570" s="9" t="s">
        <v>72</v>
      </c>
      <c r="F570" s="12">
        <f>'2019 Certified Values'!H321</f>
        <v>-8559580</v>
      </c>
    </row>
    <row r="572" spans="3:6" ht="12">
      <c r="C572" s="9"/>
      <c r="F572" s="65"/>
    </row>
    <row r="573" ht="12">
      <c r="F573" s="65"/>
    </row>
    <row r="574" spans="3:6" ht="12">
      <c r="C574" s="9"/>
      <c r="F574" s="65"/>
    </row>
    <row r="575" ht="12">
      <c r="F575" s="65"/>
    </row>
    <row r="576" spans="3:6" ht="12">
      <c r="C576" s="9"/>
      <c r="F576" s="65"/>
    </row>
    <row r="582" spans="3:6" ht="12">
      <c r="C582" s="79"/>
      <c r="D582" s="17"/>
      <c r="E582" s="6"/>
      <c r="F582" s="17"/>
    </row>
    <row r="583" spans="3:6" ht="12">
      <c r="C583" s="6" t="s">
        <v>20</v>
      </c>
      <c r="F583" s="6" t="s">
        <v>21</v>
      </c>
    </row>
    <row r="585" spans="3:6" ht="12">
      <c r="C585" s="79"/>
      <c r="D585" s="17"/>
      <c r="E585" s="6"/>
      <c r="F585" s="79"/>
    </row>
    <row r="586" spans="3:6" ht="12">
      <c r="C586" s="6" t="s">
        <v>22</v>
      </c>
      <c r="F586" s="6" t="s">
        <v>21</v>
      </c>
    </row>
    <row r="591" spans="1:8" ht="12.75">
      <c r="A591" s="412" t="s">
        <v>91</v>
      </c>
      <c r="B591" s="412"/>
      <c r="C591" s="412"/>
      <c r="D591" s="412"/>
      <c r="E591" s="412"/>
      <c r="F591" s="412"/>
      <c r="G591" s="412"/>
      <c r="H591" s="412"/>
    </row>
    <row r="592" spans="2:7" ht="12">
      <c r="B592" s="1"/>
      <c r="C592" s="1"/>
      <c r="D592" s="1"/>
      <c r="E592" s="1"/>
      <c r="F592" s="1"/>
      <c r="G592" s="1"/>
    </row>
    <row r="594" ht="12">
      <c r="B594" s="2" t="s">
        <v>194</v>
      </c>
    </row>
    <row r="595" ht="12">
      <c r="B595" s="2" t="s">
        <v>10</v>
      </c>
    </row>
    <row r="596" ht="12">
      <c r="B596" s="2" t="s">
        <v>11</v>
      </c>
    </row>
    <row r="597" ht="12">
      <c r="B597" s="2" t="s">
        <v>12</v>
      </c>
    </row>
    <row r="603" spans="3:6" ht="12">
      <c r="C603" s="2" t="s">
        <v>13</v>
      </c>
      <c r="F603" s="12">
        <f>'2019 Certified Values'!I585</f>
        <v>0</v>
      </c>
    </row>
    <row r="605" ht="12">
      <c r="C605" s="11" t="s">
        <v>80</v>
      </c>
    </row>
    <row r="606" spans="3:6" ht="12">
      <c r="C606" s="2" t="s">
        <v>15</v>
      </c>
      <c r="F606" s="12">
        <f>'2019 Certified Values'!I589</f>
        <v>0</v>
      </c>
    </row>
    <row r="608" ht="12">
      <c r="C608" s="13" t="s">
        <v>81</v>
      </c>
    </row>
    <row r="609" spans="3:6" ht="15">
      <c r="C609" s="14" t="s">
        <v>16</v>
      </c>
      <c r="F609" s="15">
        <f>'2019 Certified Values'!I601</f>
        <v>0</v>
      </c>
    </row>
    <row r="611" spans="3:6" ht="12">
      <c r="C611" s="3" t="s">
        <v>17</v>
      </c>
      <c r="F611" s="8">
        <f>'2019 Certified Values'!I607</f>
        <v>0</v>
      </c>
    </row>
    <row r="613" spans="3:6" ht="12">
      <c r="C613" s="3" t="s">
        <v>18</v>
      </c>
      <c r="F613" s="8">
        <f>'2019 Certified Values'!I606</f>
        <v>0</v>
      </c>
    </row>
    <row r="615" spans="3:6" ht="12">
      <c r="C615" s="9" t="s">
        <v>72</v>
      </c>
      <c r="F615" s="12">
        <f>'2019 Certified Values'!I587</f>
        <v>0</v>
      </c>
    </row>
    <row r="616" ht="12">
      <c r="F616" s="65"/>
    </row>
    <row r="617" spans="3:6" ht="12">
      <c r="C617" s="9"/>
      <c r="F617" s="65"/>
    </row>
    <row r="618" ht="12">
      <c r="F618" s="65"/>
    </row>
    <row r="619" spans="3:6" ht="12">
      <c r="C619" s="9"/>
      <c r="F619" s="65"/>
    </row>
    <row r="621" spans="3:6" ht="12">
      <c r="C621" s="9"/>
      <c r="F621" s="12"/>
    </row>
    <row r="627" spans="3:6" ht="12">
      <c r="C627" s="17"/>
      <c r="D627" s="17"/>
      <c r="E627" s="6"/>
      <c r="F627" s="17"/>
    </row>
    <row r="628" spans="3:6" ht="12">
      <c r="C628" s="3" t="s">
        <v>20</v>
      </c>
      <c r="F628" s="3" t="s">
        <v>21</v>
      </c>
    </row>
    <row r="630" spans="3:6" ht="12">
      <c r="C630" s="17"/>
      <c r="D630" s="17"/>
      <c r="E630" s="6"/>
      <c r="F630" s="17"/>
    </row>
    <row r="631" spans="3:6" ht="12">
      <c r="C631" s="3" t="s">
        <v>22</v>
      </c>
      <c r="F631" s="3" t="s">
        <v>21</v>
      </c>
    </row>
    <row r="636" spans="1:8" ht="12.75">
      <c r="A636" s="412" t="s">
        <v>90</v>
      </c>
      <c r="B636" s="412"/>
      <c r="C636" s="412"/>
      <c r="D636" s="412"/>
      <c r="E636" s="412"/>
      <c r="F636" s="412"/>
      <c r="G636" s="412"/>
      <c r="H636" s="412"/>
    </row>
    <row r="637" spans="2:7" ht="12">
      <c r="B637" s="1"/>
      <c r="C637" s="1"/>
      <c r="D637" s="1"/>
      <c r="E637" s="1"/>
      <c r="F637" s="1"/>
      <c r="G637" s="1"/>
    </row>
    <row r="639" ht="12">
      <c r="B639" s="2" t="s">
        <v>194</v>
      </c>
    </row>
    <row r="640" ht="12">
      <c r="B640" s="2" t="s">
        <v>10</v>
      </c>
    </row>
    <row r="641" ht="12">
      <c r="B641" s="2" t="s">
        <v>11</v>
      </c>
    </row>
    <row r="642" ht="12">
      <c r="B642" s="2" t="s">
        <v>12</v>
      </c>
    </row>
    <row r="648" spans="3:6" ht="12">
      <c r="C648" s="2" t="s">
        <v>13</v>
      </c>
      <c r="F648" s="12">
        <f>'2019 Certified Values'!I623</f>
        <v>0</v>
      </c>
    </row>
    <row r="650" ht="12">
      <c r="C650" s="11" t="s">
        <v>80</v>
      </c>
    </row>
    <row r="651" spans="3:6" ht="12">
      <c r="C651" s="2" t="s">
        <v>15</v>
      </c>
      <c r="F651" s="12">
        <f>'2019 Certified Values'!I627</f>
        <v>0</v>
      </c>
    </row>
    <row r="653" ht="12">
      <c r="C653" s="13" t="s">
        <v>81</v>
      </c>
    </row>
    <row r="654" spans="3:6" ht="15">
      <c r="C654" s="14" t="s">
        <v>16</v>
      </c>
      <c r="F654" s="15">
        <f>'2019 Certified Values'!I639</f>
        <v>0</v>
      </c>
    </row>
    <row r="656" spans="3:6" ht="12">
      <c r="C656" s="3" t="s">
        <v>17</v>
      </c>
      <c r="F656" s="8">
        <f>'2019 Certified Values'!I645</f>
        <v>0</v>
      </c>
    </row>
    <row r="658" spans="3:6" ht="12">
      <c r="C658" s="3" t="s">
        <v>18</v>
      </c>
      <c r="F658" s="8">
        <f>'2019 Certified Values'!I644</f>
        <v>0</v>
      </c>
    </row>
    <row r="660" spans="3:6" ht="12">
      <c r="C660" s="9" t="s">
        <v>72</v>
      </c>
      <c r="F660" s="12">
        <f>'2019 Certified Values'!I625</f>
        <v>0</v>
      </c>
    </row>
    <row r="661" ht="12">
      <c r="F661" s="65"/>
    </row>
    <row r="662" spans="3:6" ht="12">
      <c r="C662" s="9"/>
      <c r="F662" s="65"/>
    </row>
    <row r="663" ht="12">
      <c r="F663" s="65"/>
    </row>
    <row r="664" spans="3:6" ht="12">
      <c r="C664" s="9"/>
      <c r="F664" s="65"/>
    </row>
    <row r="665" ht="12">
      <c r="F665" s="5"/>
    </row>
    <row r="666" ht="12">
      <c r="F666" s="12"/>
    </row>
    <row r="669" ht="12">
      <c r="K669" s="239"/>
    </row>
    <row r="670" ht="12">
      <c r="K670" s="241"/>
    </row>
    <row r="672" spans="3:6" ht="12">
      <c r="C672" s="17"/>
      <c r="D672" s="17"/>
      <c r="E672" s="6"/>
      <c r="F672" s="17"/>
    </row>
    <row r="673" spans="3:6" ht="12">
      <c r="C673" s="3" t="s">
        <v>20</v>
      </c>
      <c r="F673" s="3" t="s">
        <v>21</v>
      </c>
    </row>
    <row r="675" spans="3:6" ht="12">
      <c r="C675" s="17"/>
      <c r="D675" s="17"/>
      <c r="E675" s="6"/>
      <c r="F675" s="17"/>
    </row>
    <row r="676" spans="3:6" ht="12">
      <c r="C676" s="6" t="s">
        <v>22</v>
      </c>
      <c r="D676" s="6"/>
      <c r="E676" s="6"/>
      <c r="F676" s="6" t="s">
        <v>21</v>
      </c>
    </row>
    <row r="677" spans="3:7" ht="12">
      <c r="C677" s="6"/>
      <c r="D677" s="6"/>
      <c r="E677" s="239"/>
      <c r="G677" s="240"/>
    </row>
    <row r="678" spans="5:7" ht="12">
      <c r="E678" s="240"/>
      <c r="G678" s="240"/>
    </row>
    <row r="679" ht="12">
      <c r="F679" s="82"/>
    </row>
    <row r="681" spans="1:8" ht="12.75">
      <c r="A681" s="412" t="s">
        <v>89</v>
      </c>
      <c r="B681" s="412"/>
      <c r="C681" s="412"/>
      <c r="D681" s="412"/>
      <c r="E681" s="412"/>
      <c r="F681" s="412"/>
      <c r="G681" s="412"/>
      <c r="H681" s="412"/>
    </row>
    <row r="682" spans="2:7" ht="12">
      <c r="B682" s="1"/>
      <c r="C682" s="1"/>
      <c r="D682" s="1"/>
      <c r="E682" s="1"/>
      <c r="F682" s="1"/>
      <c r="G682" s="1"/>
    </row>
    <row r="684" ht="12">
      <c r="B684" s="2" t="s">
        <v>194</v>
      </c>
    </row>
    <row r="685" ht="12">
      <c r="B685" s="2" t="s">
        <v>10</v>
      </c>
    </row>
    <row r="686" ht="12">
      <c r="B686" s="2" t="s">
        <v>11</v>
      </c>
    </row>
    <row r="687" ht="12">
      <c r="B687" s="2" t="s">
        <v>12</v>
      </c>
    </row>
    <row r="693" spans="3:6" ht="12">
      <c r="C693" s="2" t="s">
        <v>13</v>
      </c>
      <c r="F693" s="12">
        <f>'2019 Certified Values'!I547</f>
        <v>253454260</v>
      </c>
    </row>
    <row r="695" ht="12">
      <c r="C695" s="11" t="s">
        <v>80</v>
      </c>
    </row>
    <row r="696" spans="3:6" ht="12">
      <c r="C696" s="2" t="s">
        <v>15</v>
      </c>
      <c r="F696" s="12">
        <f>'2019 Certified Values'!I551</f>
        <v>200552820</v>
      </c>
    </row>
    <row r="698" ht="12">
      <c r="C698" s="13" t="s">
        <v>81</v>
      </c>
    </row>
    <row r="699" spans="3:6" ht="15">
      <c r="C699" s="14" t="s">
        <v>16</v>
      </c>
      <c r="F699" s="15">
        <f>'2019 Certified Values'!I563</f>
        <v>180411525</v>
      </c>
    </row>
    <row r="701" spans="3:6" ht="12">
      <c r="C701" s="3" t="s">
        <v>17</v>
      </c>
      <c r="F701" s="8">
        <f>'2019 Certified Values'!I569</f>
        <v>14698</v>
      </c>
    </row>
    <row r="703" spans="3:6" ht="12">
      <c r="C703" s="3" t="s">
        <v>18</v>
      </c>
      <c r="F703" s="8">
        <f>'2019 Certified Values'!I568</f>
        <v>1277646</v>
      </c>
    </row>
    <row r="705" spans="3:6" ht="12">
      <c r="C705" s="9" t="s">
        <v>72</v>
      </c>
      <c r="F705" s="12">
        <f>'2019 Certified Values'!I549</f>
        <v>-244460</v>
      </c>
    </row>
    <row r="706" ht="12">
      <c r="F706" s="65"/>
    </row>
    <row r="707" spans="3:6" ht="12">
      <c r="C707" s="9"/>
      <c r="F707" s="65"/>
    </row>
    <row r="708" ht="12">
      <c r="F708" s="65"/>
    </row>
    <row r="709" spans="3:6" ht="12">
      <c r="C709" s="9"/>
      <c r="F709" s="65"/>
    </row>
    <row r="711" ht="12">
      <c r="F711" s="12"/>
    </row>
    <row r="717" spans="3:6" ht="12">
      <c r="C717" s="17"/>
      <c r="D717" s="17"/>
      <c r="E717" s="6"/>
      <c r="F717" s="17"/>
    </row>
    <row r="718" spans="3:6" ht="12">
      <c r="C718" s="3" t="s">
        <v>20</v>
      </c>
      <c r="F718" s="3" t="s">
        <v>21</v>
      </c>
    </row>
    <row r="720" spans="3:6" ht="12">
      <c r="C720" s="17"/>
      <c r="D720" s="17"/>
      <c r="E720" s="6"/>
      <c r="F720" s="17"/>
    </row>
    <row r="721" spans="3:6" ht="12">
      <c r="C721" s="3" t="s">
        <v>22</v>
      </c>
      <c r="F721" s="3" t="s">
        <v>21</v>
      </c>
    </row>
    <row r="726" spans="1:8" ht="12.75">
      <c r="A726" s="412" t="s">
        <v>79</v>
      </c>
      <c r="B726" s="412"/>
      <c r="C726" s="412"/>
      <c r="D726" s="412"/>
      <c r="E726" s="412"/>
      <c r="F726" s="412"/>
      <c r="G726" s="412"/>
      <c r="H726" s="412"/>
    </row>
    <row r="727" spans="2:7" ht="12">
      <c r="B727" s="1"/>
      <c r="C727" s="1"/>
      <c r="D727" s="1"/>
      <c r="E727" s="1"/>
      <c r="F727" s="1"/>
      <c r="G727" s="1"/>
    </row>
    <row r="729" ht="12">
      <c r="B729" s="2" t="s">
        <v>194</v>
      </c>
    </row>
    <row r="730" ht="12">
      <c r="B730" s="2" t="s">
        <v>10</v>
      </c>
    </row>
    <row r="731" ht="12">
      <c r="B731" s="2" t="s">
        <v>11</v>
      </c>
    </row>
    <row r="732" ht="12">
      <c r="B732" s="2" t="s">
        <v>12</v>
      </c>
    </row>
    <row r="738" spans="3:6" ht="12">
      <c r="C738" s="2" t="s">
        <v>13</v>
      </c>
      <c r="F738" s="12">
        <f>'2019 Certified Values'!I509</f>
        <v>1066681690</v>
      </c>
    </row>
    <row r="740" ht="12">
      <c r="C740" s="11" t="s">
        <v>80</v>
      </c>
    </row>
    <row r="741" spans="3:6" ht="12">
      <c r="C741" s="2" t="s">
        <v>15</v>
      </c>
      <c r="F741" s="12">
        <f>'2019 Certified Values'!I513</f>
        <v>1015418640</v>
      </c>
    </row>
    <row r="743" ht="12">
      <c r="C743" s="13" t="s">
        <v>81</v>
      </c>
    </row>
    <row r="744" spans="3:6" ht="15">
      <c r="C744" s="14" t="s">
        <v>16</v>
      </c>
      <c r="F744" s="15">
        <f>'2019 Certified Values'!I525</f>
        <v>894648596</v>
      </c>
    </row>
    <row r="746" spans="3:6" ht="12">
      <c r="C746" s="3" t="s">
        <v>17</v>
      </c>
      <c r="F746" s="8">
        <f>'2019 Certified Values'!I531</f>
        <v>15679</v>
      </c>
    </row>
    <row r="748" spans="3:6" ht="12">
      <c r="C748" s="3" t="s">
        <v>18</v>
      </c>
      <c r="F748" s="8">
        <f>'2019 Certified Values'!I530</f>
        <v>8941214</v>
      </c>
    </row>
    <row r="750" spans="3:6" ht="12">
      <c r="C750" s="9" t="s">
        <v>72</v>
      </c>
      <c r="F750" s="12">
        <f>'2019 Certified Values'!I511</f>
        <v>-705420</v>
      </c>
    </row>
    <row r="751" ht="12">
      <c r="F751" s="65"/>
    </row>
    <row r="752" spans="3:6" ht="12">
      <c r="C752" s="9"/>
      <c r="F752" s="65"/>
    </row>
    <row r="753" ht="12">
      <c r="F753" s="65"/>
    </row>
    <row r="754" spans="3:6" ht="12">
      <c r="C754" s="9"/>
      <c r="F754" s="65"/>
    </row>
    <row r="756" ht="12">
      <c r="F756" s="12"/>
    </row>
    <row r="762" spans="3:6" ht="12">
      <c r="C762" s="17"/>
      <c r="D762" s="17"/>
      <c r="E762" s="6"/>
      <c r="F762" s="17"/>
    </row>
    <row r="763" spans="3:6" ht="12">
      <c r="C763" s="3" t="s">
        <v>20</v>
      </c>
      <c r="F763" s="3" t="s">
        <v>21</v>
      </c>
    </row>
    <row r="765" spans="3:6" ht="12">
      <c r="C765" s="17"/>
      <c r="D765" s="17"/>
      <c r="E765" s="6"/>
      <c r="F765" s="17"/>
    </row>
    <row r="766" spans="3:6" ht="12">
      <c r="C766" s="3" t="s">
        <v>22</v>
      </c>
      <c r="F766" s="9" t="s">
        <v>21</v>
      </c>
    </row>
    <row r="774" spans="1:8" ht="12.75">
      <c r="A774" s="412" t="s">
        <v>159</v>
      </c>
      <c r="B774" s="412"/>
      <c r="C774" s="412"/>
      <c r="D774" s="412"/>
      <c r="E774" s="412"/>
      <c r="F774" s="412"/>
      <c r="G774" s="412"/>
      <c r="H774" s="412"/>
    </row>
    <row r="775" spans="2:7" ht="12">
      <c r="B775" s="1"/>
      <c r="C775" s="1"/>
      <c r="D775" s="1"/>
      <c r="E775" s="1"/>
      <c r="F775" s="1"/>
      <c r="G775" s="1"/>
    </row>
    <row r="776" ht="12">
      <c r="B776" s="2" t="s">
        <v>194</v>
      </c>
    </row>
    <row r="777" ht="12">
      <c r="B777" s="2" t="s">
        <v>10</v>
      </c>
    </row>
    <row r="778" ht="12">
      <c r="B778" s="2" t="s">
        <v>11</v>
      </c>
    </row>
    <row r="779" ht="12">
      <c r="B779" s="2" t="s">
        <v>12</v>
      </c>
    </row>
    <row r="785" spans="3:6" ht="12">
      <c r="C785" s="2" t="s">
        <v>13</v>
      </c>
      <c r="F785" s="12">
        <f>'2019 Certified Values'!I661</f>
        <v>0</v>
      </c>
    </row>
    <row r="787" ht="12">
      <c r="C787" s="11" t="s">
        <v>80</v>
      </c>
    </row>
    <row r="788" spans="3:6" ht="12">
      <c r="C788" s="2" t="s">
        <v>15</v>
      </c>
      <c r="F788" s="12">
        <f>'2019 Certified Values'!I665</f>
        <v>0</v>
      </c>
    </row>
    <row r="790" ht="12">
      <c r="C790" s="13" t="s">
        <v>81</v>
      </c>
    </row>
    <row r="791" spans="3:6" ht="15">
      <c r="C791" s="14" t="s">
        <v>16</v>
      </c>
      <c r="F791" s="15">
        <f>'2019 Certified Values'!I677</f>
        <v>0</v>
      </c>
    </row>
    <row r="793" spans="3:6" ht="12">
      <c r="C793" s="3" t="s">
        <v>17</v>
      </c>
      <c r="F793" s="8">
        <f>'2019 Certified Values'!I683</f>
        <v>0</v>
      </c>
    </row>
    <row r="795" spans="3:6" ht="12">
      <c r="C795" s="3" t="s">
        <v>18</v>
      </c>
      <c r="F795" s="8">
        <f>'2019 Certified Values'!I682</f>
        <v>0</v>
      </c>
    </row>
    <row r="797" spans="3:6" ht="12">
      <c r="C797" s="9" t="s">
        <v>72</v>
      </c>
      <c r="F797" s="12">
        <f>'2019 Certified Values'!I663</f>
        <v>0</v>
      </c>
    </row>
    <row r="798" ht="12">
      <c r="F798" s="65"/>
    </row>
    <row r="799" spans="3:6" ht="12">
      <c r="C799" s="9"/>
      <c r="F799" s="65"/>
    </row>
    <row r="800" ht="12">
      <c r="F800" s="65"/>
    </row>
    <row r="801" spans="3:6" ht="12">
      <c r="C801" s="9"/>
      <c r="F801" s="65"/>
    </row>
    <row r="803" ht="12">
      <c r="F803" s="12"/>
    </row>
    <row r="809" spans="3:6" ht="12">
      <c r="C809" s="17"/>
      <c r="D809" s="17"/>
      <c r="E809" s="6"/>
      <c r="F809" s="17"/>
    </row>
    <row r="810" spans="3:6" ht="12">
      <c r="C810" s="3" t="s">
        <v>20</v>
      </c>
      <c r="F810" s="3" t="s">
        <v>21</v>
      </c>
    </row>
    <row r="812" spans="3:6" ht="12">
      <c r="C812" s="17"/>
      <c r="D812" s="17"/>
      <c r="E812" s="6"/>
      <c r="F812" s="17"/>
    </row>
    <row r="813" spans="3:6" ht="12">
      <c r="C813" s="3" t="s">
        <v>22</v>
      </c>
      <c r="F813" s="9" t="s">
        <v>21</v>
      </c>
    </row>
    <row r="821" spans="1:8" ht="12.75">
      <c r="A821" s="412" t="s">
        <v>171</v>
      </c>
      <c r="B821" s="412"/>
      <c r="C821" s="412"/>
      <c r="D821" s="412"/>
      <c r="E821" s="412"/>
      <c r="F821" s="412"/>
      <c r="G821" s="412"/>
      <c r="H821" s="412"/>
    </row>
    <row r="824" spans="2:7" ht="12">
      <c r="B824" s="1"/>
      <c r="C824" s="1"/>
      <c r="D824" s="1"/>
      <c r="E824" s="1"/>
      <c r="F824" s="1"/>
      <c r="G824" s="1"/>
    </row>
    <row r="825" ht="12">
      <c r="B825" s="2" t="s">
        <v>194</v>
      </c>
    </row>
    <row r="826" ht="12">
      <c r="B826" s="2" t="s">
        <v>10</v>
      </c>
    </row>
    <row r="827" ht="12">
      <c r="B827" s="2" t="s">
        <v>11</v>
      </c>
    </row>
    <row r="828" ht="12">
      <c r="B828" s="2" t="s">
        <v>12</v>
      </c>
    </row>
    <row r="834" spans="3:6" ht="12">
      <c r="C834" s="2" t="s">
        <v>13</v>
      </c>
      <c r="F834" s="12">
        <f>'2019 Certified Values'!I699</f>
        <v>0</v>
      </c>
    </row>
    <row r="836" ht="12">
      <c r="C836" s="11" t="s">
        <v>80</v>
      </c>
    </row>
    <row r="837" spans="3:6" ht="12">
      <c r="C837" s="2" t="s">
        <v>15</v>
      </c>
      <c r="F837" s="12">
        <f>'2019 Certified Values'!I703</f>
        <v>0</v>
      </c>
    </row>
    <row r="839" ht="12">
      <c r="C839" s="13" t="s">
        <v>81</v>
      </c>
    </row>
    <row r="840" spans="3:6" ht="15">
      <c r="C840" s="14" t="s">
        <v>16</v>
      </c>
      <c r="F840" s="15">
        <f>'2019 Certified Values'!I715</f>
        <v>0</v>
      </c>
    </row>
    <row r="842" spans="3:6" ht="12">
      <c r="C842" s="3" t="s">
        <v>17</v>
      </c>
      <c r="F842" s="8">
        <f>'2019 Certified Values'!I721</f>
        <v>0</v>
      </c>
    </row>
    <row r="844" spans="3:6" ht="12">
      <c r="C844" s="3" t="s">
        <v>18</v>
      </c>
      <c r="F844" s="8">
        <f>'2019 Certified Values'!I720</f>
        <v>0</v>
      </c>
    </row>
    <row r="846" spans="3:6" ht="12">
      <c r="C846" s="9" t="s">
        <v>72</v>
      </c>
      <c r="F846" s="12">
        <f>'2019 Certified Values'!I701</f>
        <v>0</v>
      </c>
    </row>
    <row r="847" ht="12">
      <c r="F847" s="65"/>
    </row>
    <row r="848" spans="3:6" ht="12">
      <c r="C848" s="9"/>
      <c r="F848" s="65"/>
    </row>
    <row r="849" ht="12">
      <c r="F849" s="65"/>
    </row>
    <row r="850" spans="3:6" ht="12">
      <c r="C850" s="9"/>
      <c r="F850" s="65"/>
    </row>
    <row r="852" ht="12">
      <c r="F852" s="12"/>
    </row>
    <row r="858" spans="3:6" ht="12">
      <c r="C858" s="17"/>
      <c r="D858" s="17"/>
      <c r="E858" s="6"/>
      <c r="F858" s="17"/>
    </row>
    <row r="859" spans="3:6" ht="12">
      <c r="C859" s="3" t="s">
        <v>20</v>
      </c>
      <c r="F859" s="3" t="s">
        <v>21</v>
      </c>
    </row>
    <row r="861" spans="3:6" ht="12">
      <c r="C861" s="17"/>
      <c r="D861" s="17"/>
      <c r="E861" s="6"/>
      <c r="F861" s="17"/>
    </row>
    <row r="862" spans="3:6" ht="12">
      <c r="C862" s="3" t="s">
        <v>22</v>
      </c>
      <c r="F862" s="9" t="s">
        <v>21</v>
      </c>
    </row>
    <row r="869" spans="1:8" ht="12.75">
      <c r="A869" s="412" t="s">
        <v>172</v>
      </c>
      <c r="B869" s="412"/>
      <c r="C869" s="412"/>
      <c r="D869" s="412"/>
      <c r="E869" s="412"/>
      <c r="F869" s="412"/>
      <c r="G869" s="412"/>
      <c r="H869" s="412"/>
    </row>
    <row r="872" spans="2:7" ht="12">
      <c r="B872" s="1"/>
      <c r="C872" s="1"/>
      <c r="D872" s="1"/>
      <c r="E872" s="1"/>
      <c r="F872" s="1"/>
      <c r="G872" s="1"/>
    </row>
    <row r="873" ht="12">
      <c r="B873" s="2" t="s">
        <v>194</v>
      </c>
    </row>
    <row r="874" ht="12">
      <c r="B874" s="2" t="s">
        <v>10</v>
      </c>
    </row>
    <row r="875" ht="12">
      <c r="B875" s="2" t="s">
        <v>11</v>
      </c>
    </row>
    <row r="876" ht="12">
      <c r="B876" s="2" t="s">
        <v>12</v>
      </c>
    </row>
    <row r="882" spans="3:6" ht="12">
      <c r="C882" s="2" t="s">
        <v>13</v>
      </c>
      <c r="F882" s="12">
        <v>572855110</v>
      </c>
    </row>
    <row r="884" ht="12">
      <c r="C884" s="11" t="s">
        <v>80</v>
      </c>
    </row>
    <row r="885" spans="3:6" ht="12">
      <c r="C885" s="2" t="s">
        <v>15</v>
      </c>
      <c r="F885" s="12">
        <v>508514920</v>
      </c>
    </row>
    <row r="887" ht="12">
      <c r="C887" s="13" t="s">
        <v>81</v>
      </c>
    </row>
    <row r="888" spans="3:6" ht="15">
      <c r="C888" s="14" t="s">
        <v>16</v>
      </c>
      <c r="F888" s="15">
        <v>467263704</v>
      </c>
    </row>
    <row r="890" spans="3:6" ht="12">
      <c r="C890" s="3" t="s">
        <v>17</v>
      </c>
      <c r="F890" s="8">
        <f>'2019 Certified Values'!I759</f>
        <v>0</v>
      </c>
    </row>
    <row r="892" spans="3:6" ht="12">
      <c r="C892" s="3" t="s">
        <v>18</v>
      </c>
      <c r="F892" s="8">
        <f>'2019 Certified Values'!I758</f>
        <v>0</v>
      </c>
    </row>
    <row r="894" spans="3:6" ht="12">
      <c r="C894" s="9" t="s">
        <v>72</v>
      </c>
      <c r="F894" s="12">
        <f>'2019 Certified Values'!I739</f>
        <v>0</v>
      </c>
    </row>
    <row r="895" ht="12">
      <c r="F895" s="65"/>
    </row>
    <row r="896" spans="3:6" ht="12">
      <c r="C896" s="9"/>
      <c r="F896" s="65"/>
    </row>
    <row r="898" ht="12">
      <c r="F898" s="12"/>
    </row>
    <row r="904" spans="3:6" ht="12">
      <c r="C904" s="17"/>
      <c r="D904" s="17"/>
      <c r="E904" s="6"/>
      <c r="F904" s="17"/>
    </row>
    <row r="905" spans="3:6" ht="12">
      <c r="C905" s="3" t="s">
        <v>20</v>
      </c>
      <c r="F905" s="3" t="s">
        <v>21</v>
      </c>
    </row>
    <row r="907" spans="3:6" ht="12">
      <c r="C907" s="17"/>
      <c r="D907" s="17"/>
      <c r="E907" s="6"/>
      <c r="F907" s="17"/>
    </row>
    <row r="908" spans="3:6" ht="12">
      <c r="C908" s="3" t="s">
        <v>22</v>
      </c>
      <c r="F908" s="9" t="s">
        <v>21</v>
      </c>
    </row>
    <row r="916" spans="1:8" ht="12.75">
      <c r="A916" s="412" t="s">
        <v>173</v>
      </c>
      <c r="B916" s="412"/>
      <c r="C916" s="412"/>
      <c r="D916" s="412"/>
      <c r="E916" s="412"/>
      <c r="F916" s="412"/>
      <c r="G916" s="412"/>
      <c r="H916" s="412"/>
    </row>
    <row r="919" spans="2:7" ht="12">
      <c r="B919" s="1"/>
      <c r="C919" s="1"/>
      <c r="D919" s="1"/>
      <c r="E919" s="1"/>
      <c r="F919" s="1"/>
      <c r="G919" s="1"/>
    </row>
    <row r="920" ht="12">
      <c r="B920" s="2" t="s">
        <v>194</v>
      </c>
    </row>
    <row r="921" ht="12">
      <c r="B921" s="2" t="s">
        <v>10</v>
      </c>
    </row>
    <row r="922" ht="12">
      <c r="B922" s="2" t="s">
        <v>11</v>
      </c>
    </row>
    <row r="923" ht="12">
      <c r="B923" s="2" t="s">
        <v>12</v>
      </c>
    </row>
    <row r="929" spans="3:6" ht="12">
      <c r="C929" s="2" t="s">
        <v>13</v>
      </c>
      <c r="F929" s="12">
        <f>'2019 Certified Values'!I775</f>
        <v>0</v>
      </c>
    </row>
    <row r="931" ht="12">
      <c r="C931" s="11" t="s">
        <v>80</v>
      </c>
    </row>
    <row r="932" spans="3:6" ht="12">
      <c r="C932" s="2" t="s">
        <v>15</v>
      </c>
      <c r="F932" s="12">
        <f>'2019 Certified Values'!I779</f>
        <v>0</v>
      </c>
    </row>
    <row r="934" ht="12">
      <c r="C934" s="13" t="s">
        <v>81</v>
      </c>
    </row>
    <row r="935" spans="3:6" ht="15">
      <c r="C935" s="14" t="s">
        <v>16</v>
      </c>
      <c r="F935" s="15">
        <f>'2019 Certified Values'!I791</f>
        <v>0</v>
      </c>
    </row>
    <row r="937" spans="3:6" ht="12">
      <c r="C937" s="3" t="s">
        <v>17</v>
      </c>
      <c r="F937" s="8">
        <f>'2019 Certified Values'!I797</f>
        <v>0</v>
      </c>
    </row>
    <row r="939" spans="3:6" ht="12">
      <c r="C939" s="3" t="s">
        <v>18</v>
      </c>
      <c r="F939" s="8">
        <f>'2019 Certified Values'!I796</f>
        <v>0</v>
      </c>
    </row>
    <row r="941" spans="3:6" ht="12">
      <c r="C941" s="9" t="s">
        <v>72</v>
      </c>
      <c r="F941" s="12">
        <f>'2019 Certified Values'!I777</f>
        <v>0</v>
      </c>
    </row>
    <row r="942" ht="12">
      <c r="F942" s="65"/>
    </row>
    <row r="943" spans="3:6" ht="12">
      <c r="C943" s="9"/>
      <c r="F943" s="65"/>
    </row>
    <row r="944" ht="12">
      <c r="F944" s="65"/>
    </row>
    <row r="945" spans="3:6" ht="12">
      <c r="C945" s="9"/>
      <c r="F945" s="65"/>
    </row>
    <row r="947" ht="12">
      <c r="F947" s="12"/>
    </row>
    <row r="953" spans="3:6" ht="12">
      <c r="C953" s="17"/>
      <c r="D953" s="17"/>
      <c r="E953" s="6"/>
      <c r="F953" s="17"/>
    </row>
    <row r="954" spans="3:6" ht="12">
      <c r="C954" s="3" t="s">
        <v>20</v>
      </c>
      <c r="F954" s="3" t="s">
        <v>21</v>
      </c>
    </row>
    <row r="956" spans="3:6" ht="12">
      <c r="C956" s="17"/>
      <c r="D956" s="17"/>
      <c r="E956" s="6"/>
      <c r="F956" s="17"/>
    </row>
    <row r="957" spans="3:6" ht="12">
      <c r="C957" s="3" t="s">
        <v>22</v>
      </c>
      <c r="F957" s="9" t="s">
        <v>21</v>
      </c>
    </row>
    <row r="962" spans="1:8" ht="12.75">
      <c r="A962" s="412" t="s">
        <v>186</v>
      </c>
      <c r="B962" s="412"/>
      <c r="C962" s="412"/>
      <c r="D962" s="412"/>
      <c r="E962" s="412"/>
      <c r="F962" s="412"/>
      <c r="G962" s="412"/>
      <c r="H962" s="412"/>
    </row>
    <row r="964" ht="12">
      <c r="B964" s="2" t="s">
        <v>194</v>
      </c>
    </row>
    <row r="965" ht="12">
      <c r="B965" s="2" t="s">
        <v>10</v>
      </c>
    </row>
    <row r="966" ht="12">
      <c r="B966" s="2" t="s">
        <v>11</v>
      </c>
    </row>
    <row r="967" ht="12">
      <c r="B967" s="2" t="s">
        <v>12</v>
      </c>
    </row>
    <row r="973" spans="3:6" ht="12">
      <c r="C973" s="2" t="s">
        <v>13</v>
      </c>
      <c r="F973" s="12">
        <f>'2019 Certified Values'!I813</f>
        <v>0</v>
      </c>
    </row>
    <row r="975" ht="12">
      <c r="C975" s="11" t="s">
        <v>80</v>
      </c>
    </row>
    <row r="976" spans="3:6" ht="12">
      <c r="C976" s="2" t="s">
        <v>15</v>
      </c>
      <c r="F976" s="12">
        <f>'2019 Certified Values'!H817</f>
        <v>180628100</v>
      </c>
    </row>
    <row r="978" ht="12">
      <c r="C978" s="13" t="s">
        <v>81</v>
      </c>
    </row>
    <row r="979" spans="3:6" ht="15">
      <c r="C979" s="14" t="s">
        <v>16</v>
      </c>
      <c r="F979" s="15">
        <f>'2019 Certified Values'!I829</f>
        <v>0</v>
      </c>
    </row>
    <row r="981" spans="3:6" ht="12">
      <c r="C981" s="3" t="s">
        <v>17</v>
      </c>
      <c r="F981" s="8" t="e">
        <f>'2019 Certified Values'!#REF!</f>
        <v>#REF!</v>
      </c>
    </row>
    <row r="983" spans="3:6" ht="12">
      <c r="C983" s="3" t="s">
        <v>18</v>
      </c>
      <c r="F983" s="8" t="e">
        <f>'2019 Certified Values'!#REF!</f>
        <v>#REF!</v>
      </c>
    </row>
    <row r="985" spans="3:6" ht="12">
      <c r="C985" s="9" t="s">
        <v>72</v>
      </c>
      <c r="F985" s="12" t="e">
        <f>'2019 Certified Values'!#REF!</f>
        <v>#REF!</v>
      </c>
    </row>
    <row r="986" ht="12">
      <c r="F986" s="65"/>
    </row>
    <row r="987" spans="3:6" ht="12">
      <c r="C987" s="9"/>
      <c r="F987" s="65"/>
    </row>
    <row r="988" ht="12">
      <c r="F988" s="65"/>
    </row>
    <row r="989" spans="3:6" ht="12">
      <c r="C989" s="9"/>
      <c r="F989" s="65"/>
    </row>
    <row r="991" ht="12">
      <c r="F991" s="12"/>
    </row>
    <row r="997" spans="3:6" ht="12">
      <c r="C997" s="17"/>
      <c r="D997" s="17"/>
      <c r="E997" s="6"/>
      <c r="F997" s="17"/>
    </row>
    <row r="998" spans="3:6" ht="12">
      <c r="C998" s="3" t="s">
        <v>20</v>
      </c>
      <c r="F998" s="3" t="s">
        <v>21</v>
      </c>
    </row>
    <row r="1000" spans="3:6" ht="12">
      <c r="C1000" s="17"/>
      <c r="D1000" s="17"/>
      <c r="E1000" s="6"/>
      <c r="F1000" s="17"/>
    </row>
    <row r="1001" spans="3:6" ht="12">
      <c r="C1001" s="3" t="s">
        <v>22</v>
      </c>
      <c r="F1001" s="9" t="s">
        <v>21</v>
      </c>
    </row>
  </sheetData>
  <sheetProtection/>
  <mergeCells count="31">
    <mergeCell ref="A2:H2"/>
    <mergeCell ref="A4:G4"/>
    <mergeCell ref="A48:H48"/>
    <mergeCell ref="A49:G49"/>
    <mergeCell ref="A93:H93"/>
    <mergeCell ref="A94:G94"/>
    <mergeCell ref="A138:H138"/>
    <mergeCell ref="A139:G139"/>
    <mergeCell ref="A183:H183"/>
    <mergeCell ref="A184:G184"/>
    <mergeCell ref="A227:H227"/>
    <mergeCell ref="A228:G228"/>
    <mergeCell ref="A274:H274"/>
    <mergeCell ref="A276:H276"/>
    <mergeCell ref="A320:H320"/>
    <mergeCell ref="A321:G321"/>
    <mergeCell ref="A325:H325"/>
    <mergeCell ref="A365:H365"/>
    <mergeCell ref="A410:H410"/>
    <mergeCell ref="A456:H456"/>
    <mergeCell ref="A501:H501"/>
    <mergeCell ref="A546:H546"/>
    <mergeCell ref="A591:H591"/>
    <mergeCell ref="A636:H636"/>
    <mergeCell ref="A962:H962"/>
    <mergeCell ref="A681:H681"/>
    <mergeCell ref="A726:H726"/>
    <mergeCell ref="A774:H774"/>
    <mergeCell ref="A821:H821"/>
    <mergeCell ref="A869:H869"/>
    <mergeCell ref="A916:H916"/>
  </mergeCells>
  <printOptions horizontalCentered="1"/>
  <pageMargins left="0.25" right="0.27" top="1.19" bottom="1.64" header="0.46" footer="0.5"/>
  <pageSetup horizontalDpi="300" verticalDpi="300" orientation="portrait" r:id="rId2"/>
  <headerFooter alignWithMargins="0">
    <oddHeader>&amp;C&amp;"Monotype Corsiva,Regular"&amp;18Harrison Central Appraisal District&amp;"Arial,Bold"&amp;10 
2014
 CERTIFICATION of TAXABLE VALUE for</oddHeader>
    <oddFooter xml:space="preserve">&amp;C&amp;"Arial,Regular"&amp;8 </oddFooter>
  </headerFooter>
  <rowBreaks count="16" manualBreakCount="16">
    <brk id="45" max="255" man="1"/>
    <brk id="91" max="255" man="1"/>
    <brk id="136" max="255" man="1"/>
    <brk id="181" max="255" man="1"/>
    <brk id="225" max="255" man="1"/>
    <brk id="363" max="255" man="1"/>
    <brk id="408" max="255" man="1"/>
    <brk id="499" max="255" man="1"/>
    <brk id="544" max="255" man="1"/>
    <brk id="589" max="255" man="1"/>
    <brk id="634" max="255" man="1"/>
    <brk id="679" max="255" man="1"/>
    <brk id="724" max="255" man="1"/>
    <brk id="816" max="255" man="1"/>
    <brk id="865" max="255" man="1"/>
    <brk id="9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2"/>
  <sheetViews>
    <sheetView workbookViewId="0" topLeftCell="A97">
      <selection activeCell="A416" sqref="A416:H456"/>
    </sheetView>
  </sheetViews>
  <sheetFormatPr defaultColWidth="9.140625" defaultRowHeight="12.75"/>
  <cols>
    <col min="1" max="1" width="9.140625" style="2" customWidth="1"/>
    <col min="2" max="2" width="3.140625" style="2" customWidth="1"/>
    <col min="3" max="3" width="18.7109375" style="2" customWidth="1"/>
    <col min="4" max="4" width="11.7109375" style="2" customWidth="1"/>
    <col min="5" max="5" width="18.28125" style="2" customWidth="1"/>
    <col min="6" max="6" width="23.00390625" style="2" customWidth="1"/>
    <col min="7" max="7" width="11.8515625" style="2" customWidth="1"/>
    <col min="8" max="16384" width="9.140625" style="2" customWidth="1"/>
  </cols>
  <sheetData>
    <row r="2" spans="1:8" ht="12.75">
      <c r="A2" s="412" t="s">
        <v>9</v>
      </c>
      <c r="B2" s="412"/>
      <c r="C2" s="412"/>
      <c r="D2" s="412"/>
      <c r="E2" s="412"/>
      <c r="F2" s="412"/>
      <c r="G2" s="412"/>
      <c r="H2" s="412"/>
    </row>
    <row r="3" spans="2:7" ht="12">
      <c r="B3" s="1"/>
      <c r="C3" s="1"/>
      <c r="D3" s="1"/>
      <c r="E3" s="1"/>
      <c r="F3" s="1"/>
      <c r="G3" s="1"/>
    </row>
    <row r="4" spans="1:7" ht="12.75">
      <c r="A4" s="412"/>
      <c r="B4" s="412"/>
      <c r="C4" s="412"/>
      <c r="D4" s="412"/>
      <c r="E4" s="412"/>
      <c r="F4" s="412"/>
      <c r="G4" s="412"/>
    </row>
    <row r="6" ht="12">
      <c r="B6" s="2" t="s">
        <v>194</v>
      </c>
    </row>
    <row r="7" ht="12">
      <c r="B7" s="2" t="s">
        <v>10</v>
      </c>
    </row>
    <row r="8" ht="12.75">
      <c r="B8" s="2" t="s">
        <v>103</v>
      </c>
    </row>
    <row r="10" ht="12">
      <c r="B10" s="2" t="s">
        <v>169</v>
      </c>
    </row>
    <row r="11" ht="12.75">
      <c r="B11" s="80" t="s">
        <v>101</v>
      </c>
    </row>
    <row r="12" ht="12.75">
      <c r="B12" s="80" t="s">
        <v>104</v>
      </c>
    </row>
    <row r="16" spans="3:6" ht="12.75">
      <c r="C16" s="80" t="s">
        <v>116</v>
      </c>
      <c r="F16" s="4">
        <f>'2019 Certified Estimate'!I16</f>
        <v>335292524</v>
      </c>
    </row>
    <row r="18" ht="12">
      <c r="C18" s="11" t="s">
        <v>75</v>
      </c>
    </row>
    <row r="19" spans="3:6" ht="12.75">
      <c r="C19" s="80" t="s">
        <v>118</v>
      </c>
      <c r="F19" s="12">
        <f>'2019 Certified Estimate'!I20</f>
        <v>286927464</v>
      </c>
    </row>
    <row r="21" ht="12">
      <c r="C21" s="13" t="s">
        <v>74</v>
      </c>
    </row>
    <row r="22" spans="3:6" ht="15">
      <c r="C22" s="14" t="s">
        <v>76</v>
      </c>
      <c r="F22" s="4">
        <f>'2019 Certified Estimate'!I32</f>
        <v>241049104</v>
      </c>
    </row>
    <row r="24" spans="3:6" ht="12">
      <c r="C24" s="3" t="s">
        <v>120</v>
      </c>
      <c r="F24" s="8">
        <f>'2019 Certified Estimate'!H38</f>
        <v>23811</v>
      </c>
    </row>
    <row r="26" spans="3:6" ht="12">
      <c r="C26" s="3" t="s">
        <v>121</v>
      </c>
      <c r="F26" s="8">
        <f>'2019 Certified Estimate'!I37</f>
        <v>3487330</v>
      </c>
    </row>
    <row r="28" spans="3:6" ht="12">
      <c r="C28" s="3" t="s">
        <v>122</v>
      </c>
      <c r="F28" s="8">
        <f>'2019 Certified Estimate'!F33</f>
        <v>14234875</v>
      </c>
    </row>
    <row r="30" spans="3:6" ht="12">
      <c r="C30" s="3" t="s">
        <v>123</v>
      </c>
      <c r="F30" s="7">
        <f>'2019 Certified Estimate'!F34</f>
        <v>139185.91</v>
      </c>
    </row>
    <row r="32" spans="3:6" ht="12">
      <c r="C32" s="9" t="s">
        <v>124</v>
      </c>
      <c r="F32" s="65">
        <f>'2019 Certified Estimate'!I18</f>
        <v>-236910</v>
      </c>
    </row>
    <row r="33" ht="12">
      <c r="F33" s="5"/>
    </row>
    <row r="34" spans="3:6" ht="12">
      <c r="C34" s="9"/>
      <c r="F34" s="5"/>
    </row>
    <row r="35" ht="12">
      <c r="F35" s="5"/>
    </row>
    <row r="36" spans="3:6" ht="12">
      <c r="C36" s="9"/>
      <c r="F36" s="5"/>
    </row>
    <row r="40" spans="3:6" ht="12">
      <c r="C40" s="79"/>
      <c r="D40" s="17"/>
      <c r="E40" s="6"/>
      <c r="F40" s="79"/>
    </row>
    <row r="41" spans="3:6" ht="12">
      <c r="C41" s="6" t="s">
        <v>20</v>
      </c>
      <c r="F41" s="6" t="s">
        <v>21</v>
      </c>
    </row>
    <row r="45" spans="2:6" ht="12.75">
      <c r="B45" s="77" t="s">
        <v>208</v>
      </c>
      <c r="C45" s="6"/>
      <c r="D45" s="6"/>
      <c r="E45" s="6"/>
      <c r="F45" s="6"/>
    </row>
    <row r="46" ht="12">
      <c r="B46" s="78" t="s">
        <v>209</v>
      </c>
    </row>
    <row r="47" ht="12">
      <c r="B47" s="78"/>
    </row>
    <row r="48" spans="1:8" ht="12.75">
      <c r="A48" s="412" t="s">
        <v>23</v>
      </c>
      <c r="B48" s="412"/>
      <c r="C48" s="412"/>
      <c r="D48" s="412"/>
      <c r="E48" s="412"/>
      <c r="F48" s="412"/>
      <c r="G48" s="412"/>
      <c r="H48" s="412"/>
    </row>
    <row r="49" spans="2:7" ht="12">
      <c r="B49" s="1"/>
      <c r="C49" s="1"/>
      <c r="D49" s="1"/>
      <c r="E49" s="1"/>
      <c r="F49" s="1"/>
      <c r="G49" s="1"/>
    </row>
    <row r="50" spans="1:7" ht="12.75">
      <c r="A50" s="412"/>
      <c r="B50" s="412"/>
      <c r="C50" s="412"/>
      <c r="D50" s="412"/>
      <c r="E50" s="412"/>
      <c r="F50" s="412"/>
      <c r="G50" s="412"/>
    </row>
    <row r="52" ht="12">
      <c r="B52" s="2" t="s">
        <v>194</v>
      </c>
    </row>
    <row r="53" ht="12">
      <c r="B53" s="2" t="s">
        <v>10</v>
      </c>
    </row>
    <row r="54" ht="12.75">
      <c r="B54" s="2" t="s">
        <v>103</v>
      </c>
    </row>
    <row r="56" ht="12">
      <c r="B56" s="2" t="s">
        <v>170</v>
      </c>
    </row>
    <row r="57" ht="12">
      <c r="B57" s="2" t="s">
        <v>101</v>
      </c>
    </row>
    <row r="58" ht="12">
      <c r="B58" s="2" t="s">
        <v>102</v>
      </c>
    </row>
    <row r="61" spans="3:6" ht="12.75">
      <c r="C61" s="80" t="s">
        <v>116</v>
      </c>
      <c r="F61" s="4">
        <f>'2019 Certified Estimate'!I54</f>
        <v>3107284285</v>
      </c>
    </row>
    <row r="63" ht="12">
      <c r="C63" s="11" t="s">
        <v>75</v>
      </c>
    </row>
    <row r="64" spans="3:6" ht="12.75">
      <c r="C64" s="80" t="s">
        <v>118</v>
      </c>
      <c r="F64" s="12">
        <f>'2019 Certified Estimate'!I58</f>
        <v>2975660935</v>
      </c>
    </row>
    <row r="66" ht="12">
      <c r="C66" s="13" t="s">
        <v>74</v>
      </c>
    </row>
    <row r="67" spans="3:6" ht="15">
      <c r="C67" s="14" t="s">
        <v>76</v>
      </c>
      <c r="F67" s="4">
        <f>'2019 Certified Estimate'!I70</f>
        <v>2545282620</v>
      </c>
    </row>
    <row r="69" spans="3:6" ht="12">
      <c r="C69" s="3" t="s">
        <v>120</v>
      </c>
      <c r="F69" s="8">
        <f>'2019 Certified Estimate'!I76</f>
        <v>44422</v>
      </c>
    </row>
    <row r="71" spans="3:6" ht="12">
      <c r="C71" s="3" t="s">
        <v>121</v>
      </c>
      <c r="F71" s="8">
        <f>'2019 Certified Estimate'!I75</f>
        <v>19667474</v>
      </c>
    </row>
    <row r="73" spans="3:6" ht="12">
      <c r="C73" s="3" t="s">
        <v>122</v>
      </c>
      <c r="F73" s="8">
        <f>'2019 Certified Estimate'!F71</f>
        <v>141945823</v>
      </c>
    </row>
    <row r="75" spans="3:6" ht="12">
      <c r="C75" s="3" t="s">
        <v>123</v>
      </c>
      <c r="F75" s="7">
        <f>'2019 Certified Estimate'!F72</f>
        <v>1608356</v>
      </c>
    </row>
    <row r="77" spans="3:6" ht="12">
      <c r="C77" s="9" t="s">
        <v>124</v>
      </c>
      <c r="F77" s="65">
        <f>'2019 Certified Estimate'!I56</f>
        <v>-1462250</v>
      </c>
    </row>
    <row r="85" spans="3:6" ht="12">
      <c r="C85" s="79"/>
      <c r="D85" s="17"/>
      <c r="E85" s="6"/>
      <c r="F85" s="79"/>
    </row>
    <row r="86" spans="3:6" ht="12">
      <c r="C86" s="6" t="s">
        <v>20</v>
      </c>
      <c r="F86" s="6" t="s">
        <v>21</v>
      </c>
    </row>
    <row r="90" spans="2:6" ht="12.75">
      <c r="B90" s="77" t="s">
        <v>208</v>
      </c>
      <c r="C90" s="6"/>
      <c r="D90" s="6"/>
      <c r="E90" s="6"/>
      <c r="F90" s="6"/>
    </row>
    <row r="91" ht="12">
      <c r="B91" s="78" t="s">
        <v>209</v>
      </c>
    </row>
    <row r="92" ht="12">
      <c r="B92" s="78"/>
    </row>
    <row r="93" ht="12">
      <c r="B93" s="78"/>
    </row>
    <row r="94" spans="1:8" ht="12.75">
      <c r="A94" s="412" t="s">
        <v>24</v>
      </c>
      <c r="B94" s="412"/>
      <c r="C94" s="412"/>
      <c r="D94" s="412"/>
      <c r="E94" s="412"/>
      <c r="F94" s="412"/>
      <c r="G94" s="412"/>
      <c r="H94" s="412"/>
    </row>
    <row r="95" spans="2:7" ht="12">
      <c r="B95" s="1"/>
      <c r="C95" s="1"/>
      <c r="D95" s="1"/>
      <c r="E95" s="1"/>
      <c r="F95" s="1"/>
      <c r="G95" s="1"/>
    </row>
    <row r="96" spans="1:7" ht="12.75">
      <c r="A96" s="412"/>
      <c r="B96" s="412"/>
      <c r="C96" s="412"/>
      <c r="D96" s="412"/>
      <c r="E96" s="412"/>
      <c r="F96" s="412"/>
      <c r="G96" s="412"/>
    </row>
    <row r="98" ht="12">
      <c r="B98" s="2" t="s">
        <v>194</v>
      </c>
    </row>
    <row r="99" ht="12">
      <c r="B99" s="2" t="s">
        <v>10</v>
      </c>
    </row>
    <row r="100" ht="12.75">
      <c r="B100" s="2" t="s">
        <v>103</v>
      </c>
    </row>
    <row r="102" ht="12">
      <c r="B102" s="2" t="s">
        <v>170</v>
      </c>
    </row>
    <row r="103" ht="12">
      <c r="B103" s="2" t="s">
        <v>101</v>
      </c>
    </row>
    <row r="104" ht="12">
      <c r="B104" s="2" t="s">
        <v>102</v>
      </c>
    </row>
    <row r="107" spans="3:6" ht="12.75">
      <c r="C107" s="80" t="s">
        <v>116</v>
      </c>
      <c r="F107" s="12">
        <f>'2019 Certified Estimate'!I93</f>
        <v>296785338</v>
      </c>
    </row>
    <row r="109" ht="12">
      <c r="C109" s="11" t="s">
        <v>75</v>
      </c>
    </row>
    <row r="110" spans="3:6" ht="12.75">
      <c r="C110" s="80" t="s">
        <v>119</v>
      </c>
      <c r="F110" s="12">
        <f>'2019 Certified Estimate'!I97</f>
        <v>210339226</v>
      </c>
    </row>
    <row r="112" ht="12">
      <c r="C112" s="13" t="s">
        <v>74</v>
      </c>
    </row>
    <row r="113" spans="3:6" ht="15">
      <c r="C113" s="14" t="s">
        <v>76</v>
      </c>
      <c r="F113" s="12">
        <f>'2019 Certified Estimate'!I109</f>
        <v>154233388</v>
      </c>
    </row>
    <row r="115" spans="3:6" ht="12">
      <c r="C115" s="3" t="s">
        <v>120</v>
      </c>
      <c r="F115" s="8">
        <f>'2019 Certified Estimate'!I115</f>
        <v>8188</v>
      </c>
    </row>
    <row r="117" spans="3:6" ht="12">
      <c r="C117" s="3" t="s">
        <v>121</v>
      </c>
      <c r="F117" s="8">
        <f>'2019 Certified Estimate'!I114</f>
        <v>1825768</v>
      </c>
    </row>
    <row r="119" spans="3:6" ht="12">
      <c r="C119" s="3" t="s">
        <v>122</v>
      </c>
      <c r="F119" s="8">
        <f>'2019 Certified Estimate'!F110</f>
        <v>17977804</v>
      </c>
    </row>
    <row r="121" spans="3:6" ht="12">
      <c r="C121" s="3" t="s">
        <v>123</v>
      </c>
      <c r="F121" s="7">
        <f>'2019 Certified Estimate'!F111</f>
        <v>175278.66</v>
      </c>
    </row>
    <row r="123" spans="3:6" ht="12">
      <c r="C123" s="9" t="s">
        <v>124</v>
      </c>
      <c r="F123" s="12">
        <f>'2019 Certified Estimate'!I95</f>
        <v>-583282</v>
      </c>
    </row>
    <row r="131" spans="3:6" ht="12">
      <c r="C131" s="79"/>
      <c r="D131" s="17"/>
      <c r="E131" s="6"/>
      <c r="F131" s="79"/>
    </row>
    <row r="132" spans="3:6" ht="12">
      <c r="C132" s="6" t="s">
        <v>20</v>
      </c>
      <c r="F132" s="6" t="s">
        <v>21</v>
      </c>
    </row>
    <row r="136" spans="2:6" ht="12.75">
      <c r="B136" s="77" t="s">
        <v>208</v>
      </c>
      <c r="C136" s="6"/>
      <c r="D136" s="6"/>
      <c r="E136" s="6"/>
      <c r="F136" s="6"/>
    </row>
    <row r="137" ht="12">
      <c r="B137" s="78" t="s">
        <v>209</v>
      </c>
    </row>
    <row r="138" ht="12">
      <c r="B138" s="78"/>
    </row>
    <row r="140" spans="1:8" ht="12.75">
      <c r="A140" s="412" t="s">
        <v>25</v>
      </c>
      <c r="B140" s="412"/>
      <c r="C140" s="412"/>
      <c r="D140" s="412"/>
      <c r="E140" s="412"/>
      <c r="F140" s="412"/>
      <c r="G140" s="412"/>
      <c r="H140" s="412"/>
    </row>
    <row r="141" spans="2:7" ht="12">
      <c r="B141" s="1"/>
      <c r="C141" s="1"/>
      <c r="D141" s="1"/>
      <c r="E141" s="1"/>
      <c r="F141" s="1"/>
      <c r="G141" s="1"/>
    </row>
    <row r="142" spans="1:7" ht="12.75">
      <c r="A142" s="412"/>
      <c r="B142" s="412"/>
      <c r="C142" s="412"/>
      <c r="D142" s="412"/>
      <c r="E142" s="412"/>
      <c r="F142" s="412"/>
      <c r="G142" s="412"/>
    </row>
    <row r="144" ht="12">
      <c r="B144" s="2" t="s">
        <v>194</v>
      </c>
    </row>
    <row r="145" ht="12">
      <c r="B145" s="2" t="s">
        <v>10</v>
      </c>
    </row>
    <row r="146" ht="12.75">
      <c r="B146" s="2" t="s">
        <v>103</v>
      </c>
    </row>
    <row r="148" ht="12">
      <c r="B148" s="2" t="s">
        <v>170</v>
      </c>
    </row>
    <row r="149" ht="12">
      <c r="B149" s="2" t="s">
        <v>101</v>
      </c>
    </row>
    <row r="150" ht="12">
      <c r="B150" s="2" t="s">
        <v>102</v>
      </c>
    </row>
    <row r="153" spans="3:6" ht="12.75">
      <c r="C153" s="80" t="s">
        <v>117</v>
      </c>
      <c r="F153" s="12">
        <f>'2019 Certified Estimate'!I132</f>
        <v>354597503</v>
      </c>
    </row>
    <row r="155" ht="12">
      <c r="C155" s="11" t="s">
        <v>75</v>
      </c>
    </row>
    <row r="156" spans="3:6" ht="12.75">
      <c r="C156" s="80" t="s">
        <v>118</v>
      </c>
      <c r="F156" s="12">
        <f>'2019 Certified Estimate'!I136</f>
        <v>256313733</v>
      </c>
    </row>
    <row r="158" ht="12">
      <c r="C158" s="13" t="s">
        <v>74</v>
      </c>
    </row>
    <row r="159" spans="3:6" ht="15">
      <c r="C159" s="14" t="s">
        <v>76</v>
      </c>
      <c r="F159" s="12">
        <f>'2019 Certified Estimate'!I148</f>
        <v>199295352</v>
      </c>
    </row>
    <row r="161" spans="3:6" ht="12">
      <c r="C161" s="3" t="s">
        <v>120</v>
      </c>
      <c r="F161" s="12">
        <f>'2019 Certified Estimate'!I154</f>
        <v>12791</v>
      </c>
    </row>
    <row r="163" spans="3:6" ht="12">
      <c r="C163" s="3" t="s">
        <v>121</v>
      </c>
      <c r="F163" s="12">
        <f>'2019 Certified Estimate'!I153</f>
        <v>597814</v>
      </c>
    </row>
    <row r="165" spans="3:6" ht="12">
      <c r="C165" s="3" t="s">
        <v>122</v>
      </c>
      <c r="F165" s="8">
        <f>'2019 Certified Estimate'!F149</f>
        <v>19470120</v>
      </c>
    </row>
    <row r="167" spans="3:6" ht="12">
      <c r="C167" s="3" t="s">
        <v>123</v>
      </c>
      <c r="F167" s="7">
        <f>'2019 Certified Estimate'!F150</f>
        <v>157089.91</v>
      </c>
    </row>
    <row r="169" spans="3:6" ht="12">
      <c r="C169" s="9" t="s">
        <v>124</v>
      </c>
      <c r="F169" s="65">
        <f>'2019 Certified Estimate'!I134</f>
        <v>-438520</v>
      </c>
    </row>
    <row r="177" spans="3:6" ht="12">
      <c r="C177" s="79"/>
      <c r="D177" s="17"/>
      <c r="E177" s="6"/>
      <c r="F177" s="79"/>
    </row>
    <row r="178" spans="3:6" ht="12">
      <c r="C178" s="6" t="s">
        <v>20</v>
      </c>
      <c r="F178" s="6" t="s">
        <v>21</v>
      </c>
    </row>
    <row r="182" spans="2:6" ht="12.75">
      <c r="B182" s="77" t="s">
        <v>208</v>
      </c>
      <c r="C182" s="6"/>
      <c r="D182" s="6"/>
      <c r="E182" s="6"/>
      <c r="F182" s="6"/>
    </row>
    <row r="183" ht="12">
      <c r="B183" s="78" t="s">
        <v>209</v>
      </c>
    </row>
    <row r="186" spans="1:8" ht="12.75">
      <c r="A186" s="412" t="s">
        <v>26</v>
      </c>
      <c r="B186" s="412"/>
      <c r="C186" s="412"/>
      <c r="D186" s="412"/>
      <c r="E186" s="412"/>
      <c r="F186" s="412"/>
      <c r="G186" s="412"/>
      <c r="H186" s="412"/>
    </row>
    <row r="187" spans="2:7" ht="12">
      <c r="B187" s="1"/>
      <c r="C187" s="1"/>
      <c r="D187" s="1"/>
      <c r="E187" s="1"/>
      <c r="F187" s="1"/>
      <c r="G187" s="1"/>
    </row>
    <row r="188" spans="1:7" ht="12.75">
      <c r="A188" s="412"/>
      <c r="B188" s="412"/>
      <c r="C188" s="412"/>
      <c r="D188" s="412"/>
      <c r="E188" s="412"/>
      <c r="F188" s="412"/>
      <c r="G188" s="412"/>
    </row>
    <row r="190" ht="12">
      <c r="B190" s="2" t="s">
        <v>194</v>
      </c>
    </row>
    <row r="191" ht="12">
      <c r="B191" s="2" t="s">
        <v>10</v>
      </c>
    </row>
    <row r="192" ht="12.75">
      <c r="B192" s="2" t="s">
        <v>103</v>
      </c>
    </row>
    <row r="194" ht="12">
      <c r="B194" s="2" t="s">
        <v>170</v>
      </c>
    </row>
    <row r="195" ht="12">
      <c r="B195" s="2" t="s">
        <v>101</v>
      </c>
    </row>
    <row r="196" ht="12">
      <c r="B196" s="2" t="s">
        <v>102</v>
      </c>
    </row>
    <row r="199" spans="3:6" ht="12.75">
      <c r="C199" s="80" t="s">
        <v>116</v>
      </c>
      <c r="F199" s="12">
        <f>'2019 Certified Estimate'!I171</f>
        <v>3622651698</v>
      </c>
    </row>
    <row r="201" ht="12">
      <c r="C201" s="11" t="s">
        <v>75</v>
      </c>
    </row>
    <row r="202" spans="3:6" ht="12.75">
      <c r="C202" s="80" t="s">
        <v>119</v>
      </c>
      <c r="F202" s="12">
        <f>'2019 Certified Estimate'!I175</f>
        <v>3400219121</v>
      </c>
    </row>
    <row r="204" ht="12">
      <c r="C204" s="13" t="s">
        <v>74</v>
      </c>
    </row>
    <row r="205" spans="3:6" ht="15">
      <c r="C205" s="14" t="s">
        <v>76</v>
      </c>
      <c r="F205" s="12">
        <f>'2019 Certified Estimate'!I187</f>
        <v>2587671595</v>
      </c>
    </row>
    <row r="207" spans="3:6" ht="12">
      <c r="C207" s="3" t="s">
        <v>120</v>
      </c>
      <c r="F207" s="8">
        <f>'2019 Certified Estimate'!I193</f>
        <v>106091</v>
      </c>
    </row>
    <row r="209" spans="3:6" ht="12">
      <c r="C209" s="3" t="s">
        <v>121</v>
      </c>
      <c r="F209" s="8">
        <f>'2019 Certified Estimate'!I192</f>
        <v>14104111</v>
      </c>
    </row>
    <row r="211" spans="3:6" ht="12">
      <c r="C211" s="3" t="s">
        <v>122</v>
      </c>
      <c r="F211" s="5">
        <f>'2019 Certified Estimate'!F188</f>
        <v>170173566</v>
      </c>
    </row>
    <row r="213" spans="3:6" ht="12">
      <c r="C213" s="3" t="s">
        <v>123</v>
      </c>
      <c r="F213" s="18">
        <f>'2019 Certified Estimate'!F189</f>
        <v>1484550.91</v>
      </c>
    </row>
    <row r="215" spans="3:6" ht="12">
      <c r="C215" s="9" t="s">
        <v>124</v>
      </c>
      <c r="F215" s="65">
        <f>'2019 Certified Estimate'!I173</f>
        <v>-2551327</v>
      </c>
    </row>
    <row r="223" spans="3:6" ht="12">
      <c r="C223" s="79"/>
      <c r="D223" s="17"/>
      <c r="E223" s="6"/>
      <c r="F223" s="79"/>
    </row>
    <row r="224" spans="3:6" ht="12">
      <c r="C224" s="6" t="s">
        <v>20</v>
      </c>
      <c r="F224" s="6" t="s">
        <v>21</v>
      </c>
    </row>
    <row r="228" spans="2:6" ht="12.75">
      <c r="B228" s="77" t="s">
        <v>208</v>
      </c>
      <c r="C228" s="6"/>
      <c r="D228" s="6"/>
      <c r="E228" s="6"/>
      <c r="F228" s="6"/>
    </row>
    <row r="229" ht="12">
      <c r="B229" s="78" t="s">
        <v>209</v>
      </c>
    </row>
    <row r="230" ht="12">
      <c r="B230" s="78"/>
    </row>
    <row r="231" spans="1:8" ht="12.75">
      <c r="A231" s="412" t="s">
        <v>112</v>
      </c>
      <c r="B231" s="412"/>
      <c r="C231" s="412"/>
      <c r="D231" s="412"/>
      <c r="E231" s="412"/>
      <c r="F231" s="412"/>
      <c r="G231" s="412"/>
      <c r="H231" s="412"/>
    </row>
    <row r="232" spans="2:7" ht="12">
      <c r="B232" s="1"/>
      <c r="C232" s="1"/>
      <c r="D232" s="1"/>
      <c r="E232" s="1"/>
      <c r="F232" s="1"/>
      <c r="G232" s="1"/>
    </row>
    <row r="233" spans="1:7" ht="12.75">
      <c r="A233" s="412"/>
      <c r="B233" s="412"/>
      <c r="C233" s="412"/>
      <c r="D233" s="412"/>
      <c r="E233" s="412"/>
      <c r="F233" s="412"/>
      <c r="G233" s="412"/>
    </row>
    <row r="235" ht="12">
      <c r="B235" s="2" t="s">
        <v>194</v>
      </c>
    </row>
    <row r="236" ht="12">
      <c r="B236" s="2" t="s">
        <v>10</v>
      </c>
    </row>
    <row r="237" ht="12.75">
      <c r="B237" s="2" t="s">
        <v>103</v>
      </c>
    </row>
    <row r="239" ht="12">
      <c r="B239" s="2" t="s">
        <v>170</v>
      </c>
    </row>
    <row r="240" ht="12">
      <c r="B240" s="2" t="s">
        <v>101</v>
      </c>
    </row>
    <row r="241" ht="12">
      <c r="B241" s="2" t="s">
        <v>102</v>
      </c>
    </row>
    <row r="244" spans="3:6" ht="12.75">
      <c r="C244" s="80" t="s">
        <v>117</v>
      </c>
      <c r="F244" s="12">
        <f>'2019 Certified Estimate'!I210</f>
        <v>15504000</v>
      </c>
    </row>
    <row r="246" ht="12">
      <c r="C246" s="11" t="s">
        <v>75</v>
      </c>
    </row>
    <row r="247" spans="3:6" ht="12.75">
      <c r="C247" s="80" t="s">
        <v>118</v>
      </c>
      <c r="F247" s="12">
        <f>'2019 Certified Estimate'!I214</f>
        <v>8393230</v>
      </c>
    </row>
    <row r="249" ht="12">
      <c r="C249" s="13" t="s">
        <v>74</v>
      </c>
    </row>
    <row r="250" spans="3:6" ht="15">
      <c r="C250" s="14" t="s">
        <v>76</v>
      </c>
      <c r="F250" s="12">
        <f>'2019 Certified Estimate'!I226</f>
        <v>7355740</v>
      </c>
    </row>
    <row r="252" spans="3:6" ht="12">
      <c r="C252" s="3" t="s">
        <v>120</v>
      </c>
      <c r="F252" s="8">
        <f>'2019 Certified Estimate'!I232</f>
        <v>144</v>
      </c>
    </row>
    <row r="254" spans="3:6" ht="12">
      <c r="C254" s="3" t="s">
        <v>121</v>
      </c>
      <c r="F254" s="8">
        <f>'2019 Certified Estimate'!I231</f>
        <v>14220</v>
      </c>
    </row>
    <row r="256" spans="3:6" ht="12">
      <c r="C256" s="3" t="s">
        <v>122</v>
      </c>
      <c r="F256" s="5">
        <f>'2019 Certified Estimate'!F227</f>
        <v>1660930</v>
      </c>
    </row>
    <row r="258" spans="3:6" ht="12">
      <c r="C258" s="3" t="s">
        <v>123</v>
      </c>
      <c r="F258" s="18">
        <f>'2019 Certified Estimate'!F228</f>
        <v>11778.06</v>
      </c>
    </row>
    <row r="260" spans="3:6" ht="12">
      <c r="C260" s="9" t="s">
        <v>124</v>
      </c>
      <c r="F260" s="12">
        <f>'2019 Certified Estimate'!I212</f>
        <v>-620</v>
      </c>
    </row>
    <row r="268" spans="3:6" ht="12">
      <c r="C268" s="79"/>
      <c r="D268" s="17"/>
      <c r="E268" s="6"/>
      <c r="F268" s="79"/>
    </row>
    <row r="269" spans="3:6" ht="12">
      <c r="C269" s="6" t="s">
        <v>20</v>
      </c>
      <c r="F269" s="6" t="s">
        <v>21</v>
      </c>
    </row>
    <row r="273" spans="2:6" ht="12.75">
      <c r="B273" s="77" t="s">
        <v>208</v>
      </c>
      <c r="C273" s="6"/>
      <c r="D273" s="6"/>
      <c r="E273" s="6"/>
      <c r="F273" s="6"/>
    </row>
    <row r="274" ht="12">
      <c r="B274" s="78" t="s">
        <v>209</v>
      </c>
    </row>
    <row r="275" ht="12">
      <c r="B275" s="78"/>
    </row>
    <row r="276" ht="12">
      <c r="B276" s="78"/>
    </row>
    <row r="277" ht="12">
      <c r="B277" s="78"/>
    </row>
    <row r="278" spans="1:8" ht="12.75">
      <c r="A278" s="412" t="s">
        <v>113</v>
      </c>
      <c r="B278" s="412"/>
      <c r="C278" s="412"/>
      <c r="D278" s="412"/>
      <c r="E278" s="412"/>
      <c r="F278" s="412"/>
      <c r="G278" s="412"/>
      <c r="H278" s="412"/>
    </row>
    <row r="279" spans="2:7" ht="12">
      <c r="B279" s="1"/>
      <c r="C279" s="1"/>
      <c r="D279" s="1"/>
      <c r="E279" s="1"/>
      <c r="F279" s="1"/>
      <c r="G279" s="1"/>
    </row>
    <row r="280" spans="1:7" ht="12.75">
      <c r="A280" s="412"/>
      <c r="B280" s="412"/>
      <c r="C280" s="412"/>
      <c r="D280" s="412"/>
      <c r="E280" s="412"/>
      <c r="F280" s="412"/>
      <c r="G280" s="412"/>
    </row>
    <row r="282" ht="12">
      <c r="B282" s="2" t="s">
        <v>194</v>
      </c>
    </row>
    <row r="283" ht="12">
      <c r="B283" s="2" t="s">
        <v>10</v>
      </c>
    </row>
    <row r="284" ht="12.75">
      <c r="B284" s="2" t="s">
        <v>103</v>
      </c>
    </row>
    <row r="286" ht="12">
      <c r="B286" s="2" t="s">
        <v>170</v>
      </c>
    </row>
    <row r="287" ht="12">
      <c r="B287" s="2" t="s">
        <v>101</v>
      </c>
    </row>
    <row r="288" ht="12">
      <c r="B288" s="2" t="s">
        <v>102</v>
      </c>
    </row>
    <row r="291" spans="3:6" ht="12.75">
      <c r="C291" s="80" t="s">
        <v>117</v>
      </c>
      <c r="F291" s="12">
        <f>'2019 Certified Estimate'!I249</f>
        <v>4070404</v>
      </c>
    </row>
    <row r="293" ht="12">
      <c r="C293" s="11" t="s">
        <v>75</v>
      </c>
    </row>
    <row r="294" spans="3:6" ht="12.75">
      <c r="C294" s="80" t="s">
        <v>119</v>
      </c>
      <c r="F294" s="12">
        <f>'2019 Certified Estimate'!I253</f>
        <v>3093244</v>
      </c>
    </row>
    <row r="296" ht="12">
      <c r="C296" s="13" t="s">
        <v>74</v>
      </c>
    </row>
    <row r="297" spans="3:6" ht="15">
      <c r="C297" s="14" t="s">
        <v>76</v>
      </c>
      <c r="F297" s="12">
        <f>'2019 Certified Estimate'!I265</f>
        <v>2603889</v>
      </c>
    </row>
    <row r="299" spans="3:6" ht="12">
      <c r="C299" s="3" t="s">
        <v>120</v>
      </c>
      <c r="F299" s="8">
        <f>'2019 Certified Estimate'!I271</f>
        <v>85</v>
      </c>
    </row>
    <row r="301" spans="3:6" ht="12">
      <c r="C301" s="3" t="s">
        <v>121</v>
      </c>
      <c r="F301" s="8">
        <f>'2019 Certified Estimate'!I270</f>
        <v>0</v>
      </c>
    </row>
    <row r="303" spans="3:6" ht="12">
      <c r="C303" s="3" t="s">
        <v>122</v>
      </c>
      <c r="F303" s="5">
        <f>'2019 Certified Estimate'!F266</f>
        <v>126299</v>
      </c>
    </row>
    <row r="305" spans="3:6" ht="12">
      <c r="C305" s="3" t="s">
        <v>123</v>
      </c>
      <c r="F305" s="18">
        <f>'2019 Certified Estimate'!F267</f>
        <v>1199.23</v>
      </c>
    </row>
    <row r="307" spans="3:6" ht="12">
      <c r="C307" s="9" t="s">
        <v>124</v>
      </c>
      <c r="F307" s="12">
        <f>'2019 Certified Estimate'!I251</f>
        <v>-36570</v>
      </c>
    </row>
    <row r="315" spans="3:6" ht="12">
      <c r="C315" s="79"/>
      <c r="D315" s="17"/>
      <c r="E315" s="6"/>
      <c r="F315" s="79"/>
    </row>
    <row r="316" spans="3:6" ht="12">
      <c r="C316" s="6" t="s">
        <v>20</v>
      </c>
      <c r="F316" s="6" t="s">
        <v>21</v>
      </c>
    </row>
    <row r="320" spans="2:6" ht="12.75">
      <c r="B320" s="77" t="s">
        <v>208</v>
      </c>
      <c r="C320" s="6"/>
      <c r="D320" s="6"/>
      <c r="E320" s="6"/>
      <c r="F320" s="6"/>
    </row>
    <row r="321" ht="12">
      <c r="B321" s="78" t="s">
        <v>209</v>
      </c>
    </row>
    <row r="322" ht="12">
      <c r="B322" s="78"/>
    </row>
    <row r="323" ht="12">
      <c r="B323" s="78"/>
    </row>
    <row r="324" spans="1:8" ht="12.75">
      <c r="A324" s="412" t="s">
        <v>27</v>
      </c>
      <c r="B324" s="412"/>
      <c r="C324" s="412"/>
      <c r="D324" s="412"/>
      <c r="E324" s="412"/>
      <c r="F324" s="412"/>
      <c r="G324" s="412"/>
      <c r="H324" s="412"/>
    </row>
    <row r="325" spans="2:7" ht="12">
      <c r="B325" s="1"/>
      <c r="C325" s="1"/>
      <c r="D325" s="1"/>
      <c r="E325" s="1"/>
      <c r="F325" s="1"/>
      <c r="G325" s="1"/>
    </row>
    <row r="326" spans="1:7" ht="12.75">
      <c r="A326" s="412"/>
      <c r="B326" s="412"/>
      <c r="C326" s="412"/>
      <c r="D326" s="412"/>
      <c r="E326" s="412"/>
      <c r="F326" s="412"/>
      <c r="G326" s="412"/>
    </row>
    <row r="328" ht="12">
      <c r="B328" s="2" t="s">
        <v>194</v>
      </c>
    </row>
    <row r="329" ht="12">
      <c r="B329" s="2" t="s">
        <v>10</v>
      </c>
    </row>
    <row r="330" ht="12.75">
      <c r="B330" s="2" t="s">
        <v>103</v>
      </c>
    </row>
    <row r="332" ht="12">
      <c r="B332" s="2" t="s">
        <v>170</v>
      </c>
    </row>
    <row r="333" ht="12">
      <c r="B333" s="2" t="s">
        <v>101</v>
      </c>
    </row>
    <row r="334" ht="12">
      <c r="B334" s="2" t="s">
        <v>102</v>
      </c>
    </row>
    <row r="337" spans="3:6" ht="12.75">
      <c r="C337" s="80" t="s">
        <v>116</v>
      </c>
      <c r="F337" s="12">
        <f>'2019 Certified Estimate'!I288</f>
        <v>467743560</v>
      </c>
    </row>
    <row r="339" ht="12">
      <c r="C339" s="11" t="s">
        <v>75</v>
      </c>
    </row>
    <row r="340" spans="3:6" ht="12.75">
      <c r="C340" s="80" t="s">
        <v>119</v>
      </c>
      <c r="F340" s="12">
        <f>'2019 Certified Estimate'!I292</f>
        <v>421573840</v>
      </c>
    </row>
    <row r="342" ht="12">
      <c r="C342" s="13" t="s">
        <v>74</v>
      </c>
    </row>
    <row r="343" spans="3:6" ht="15">
      <c r="C343" s="14" t="s">
        <v>76</v>
      </c>
      <c r="F343" s="12">
        <f>'2019 Certified Estimate'!I304</f>
        <v>362922930</v>
      </c>
    </row>
    <row r="345" spans="3:6" ht="12">
      <c r="C345" s="3" t="s">
        <v>120</v>
      </c>
      <c r="F345" s="8">
        <f>'2019 Certified Estimate'!I310</f>
        <v>19261</v>
      </c>
    </row>
    <row r="347" spans="3:6" ht="12">
      <c r="C347" s="3" t="s">
        <v>121</v>
      </c>
      <c r="F347" s="8">
        <f>'2019 Certified Estimate'!I309</f>
        <v>1431389</v>
      </c>
    </row>
    <row r="349" spans="3:6" ht="12">
      <c r="C349" s="3" t="s">
        <v>122</v>
      </c>
      <c r="F349" s="5">
        <f>'2019 Certified Estimate'!F305</f>
        <v>18047111</v>
      </c>
    </row>
    <row r="351" spans="3:6" ht="12">
      <c r="C351" s="3" t="s">
        <v>123</v>
      </c>
      <c r="F351" s="18">
        <f>'2019 Certified Estimate'!F306</f>
        <v>173044.95</v>
      </c>
    </row>
    <row r="353" spans="3:6" ht="12">
      <c r="C353" s="9" t="s">
        <v>124</v>
      </c>
      <c r="F353" s="12">
        <f>'2019 Certified Estimate'!I290</f>
        <v>-127990</v>
      </c>
    </row>
    <row r="361" spans="3:6" ht="12">
      <c r="C361" s="79"/>
      <c r="D361" s="17"/>
      <c r="E361" s="6"/>
      <c r="F361" s="79"/>
    </row>
    <row r="362" spans="3:6" ht="12">
      <c r="C362" s="6" t="s">
        <v>20</v>
      </c>
      <c r="F362" s="6" t="s">
        <v>21</v>
      </c>
    </row>
    <row r="366" spans="2:6" ht="12.75">
      <c r="B366" s="77" t="s">
        <v>208</v>
      </c>
      <c r="C366" s="6"/>
      <c r="D366" s="6"/>
      <c r="E366" s="6"/>
      <c r="F366" s="6"/>
    </row>
    <row r="367" ht="12">
      <c r="B367" s="78" t="s">
        <v>209</v>
      </c>
    </row>
    <row r="368" ht="12">
      <c r="B368" s="78"/>
    </row>
    <row r="369" ht="12">
      <c r="B369" s="78"/>
    </row>
    <row r="370" spans="1:7" ht="12.75">
      <c r="A370" s="10" t="s">
        <v>31</v>
      </c>
      <c r="B370" s="19"/>
      <c r="C370" s="1"/>
      <c r="D370" s="1"/>
      <c r="E370" s="1"/>
      <c r="F370" s="1"/>
      <c r="G370" s="1"/>
    </row>
    <row r="371" spans="1:7" ht="12.75">
      <c r="A371" s="10"/>
      <c r="B371" s="19"/>
      <c r="C371" s="1"/>
      <c r="D371" s="1"/>
      <c r="E371" s="1"/>
      <c r="F371" s="1"/>
      <c r="G371" s="1"/>
    </row>
    <row r="372" spans="1:7" ht="12.75">
      <c r="A372" s="10"/>
      <c r="B372" s="19"/>
      <c r="C372" s="1"/>
      <c r="D372" s="1"/>
      <c r="E372" s="1"/>
      <c r="F372" s="1"/>
      <c r="G372" s="1"/>
    </row>
    <row r="373" spans="2:7" ht="12">
      <c r="B373" s="1"/>
      <c r="C373" s="1"/>
      <c r="D373" s="1"/>
      <c r="E373" s="1"/>
      <c r="F373" s="1"/>
      <c r="G373" s="1"/>
    </row>
    <row r="374" spans="2:7" ht="12">
      <c r="B374" s="2" t="s">
        <v>194</v>
      </c>
      <c r="C374" s="1"/>
      <c r="D374" s="1"/>
      <c r="E374" s="1"/>
      <c r="F374" s="1"/>
      <c r="G374" s="1"/>
    </row>
    <row r="375" ht="12">
      <c r="B375" s="2" t="s">
        <v>10</v>
      </c>
    </row>
    <row r="376" ht="12.75">
      <c r="B376" s="2" t="s">
        <v>103</v>
      </c>
    </row>
    <row r="378" ht="12">
      <c r="B378" s="2" t="s">
        <v>170</v>
      </c>
    </row>
    <row r="379" ht="12">
      <c r="B379" s="2" t="s">
        <v>101</v>
      </c>
    </row>
    <row r="380" ht="12">
      <c r="B380" s="2" t="s">
        <v>102</v>
      </c>
    </row>
    <row r="382" spans="3:6" ht="12.75">
      <c r="C382" s="80" t="s">
        <v>116</v>
      </c>
      <c r="F382" s="12">
        <f>'2019 Certified Estimate'!I327</f>
        <v>8207464392</v>
      </c>
    </row>
    <row r="384" spans="3:5" ht="12.75">
      <c r="C384" s="11" t="s">
        <v>14</v>
      </c>
      <c r="E384"/>
    </row>
    <row r="385" spans="3:6" ht="12.75">
      <c r="C385" s="80" t="s">
        <v>118</v>
      </c>
      <c r="F385" s="12">
        <f>'2019 Certified Estimate'!I331</f>
        <v>7566055873</v>
      </c>
    </row>
    <row r="387" ht="12">
      <c r="C387" s="13" t="s">
        <v>69</v>
      </c>
    </row>
    <row r="388" spans="3:6" ht="15">
      <c r="C388" s="14" t="s">
        <v>125</v>
      </c>
      <c r="F388" s="12">
        <f>'2019 Certified Estimate'!I343</f>
        <v>6208082509</v>
      </c>
    </row>
    <row r="389" spans="3:6" ht="15">
      <c r="C389" s="14"/>
      <c r="F389" s="12"/>
    </row>
    <row r="390" spans="3:6" ht="12">
      <c r="C390" s="3" t="s">
        <v>120</v>
      </c>
      <c r="F390" s="12">
        <f>'2019 Certified Estimate'!I349</f>
        <v>203297</v>
      </c>
    </row>
    <row r="391" spans="3:6" ht="15">
      <c r="C391" s="14"/>
      <c r="F391" s="12"/>
    </row>
    <row r="392" spans="3:6" ht="12">
      <c r="C392" s="3" t="s">
        <v>121</v>
      </c>
      <c r="F392" s="84">
        <f>'2019 Certified Estimate'!I348</f>
        <v>42897400</v>
      </c>
    </row>
    <row r="393" spans="3:6" ht="12">
      <c r="C393" s="3"/>
      <c r="F393" s="84"/>
    </row>
    <row r="394" spans="3:6" ht="12">
      <c r="C394" s="3" t="s">
        <v>122</v>
      </c>
      <c r="F394" s="84">
        <f>'2019 Certified Estimate'!F344</f>
        <v>539235879</v>
      </c>
    </row>
    <row r="395" ht="12">
      <c r="F395" s="85"/>
    </row>
    <row r="396" spans="3:6" ht="12">
      <c r="C396" s="3" t="s">
        <v>123</v>
      </c>
      <c r="F396" s="242">
        <f>'2019 Certified Estimate'!F345</f>
        <v>1630114.28</v>
      </c>
    </row>
    <row r="397" ht="12">
      <c r="F397" s="85"/>
    </row>
    <row r="398" spans="3:6" ht="12">
      <c r="C398" s="9" t="s">
        <v>124</v>
      </c>
      <c r="F398" s="84">
        <v>-5437469</v>
      </c>
    </row>
    <row r="404" spans="3:6" ht="12">
      <c r="C404" s="9"/>
      <c r="F404" s="12"/>
    </row>
    <row r="405" spans="3:6" ht="12">
      <c r="C405" s="9"/>
      <c r="F405" s="12"/>
    </row>
    <row r="406" spans="3:6" ht="12">
      <c r="C406" s="9"/>
      <c r="F406" s="12"/>
    </row>
    <row r="407" spans="3:6" ht="12">
      <c r="C407" s="79"/>
      <c r="D407" s="17"/>
      <c r="F407" s="79"/>
    </row>
    <row r="408" spans="3:6" ht="12">
      <c r="C408" s="6" t="s">
        <v>20</v>
      </c>
      <c r="F408" s="6" t="s">
        <v>21</v>
      </c>
    </row>
    <row r="409" spans="5:6" ht="12">
      <c r="E409" s="6"/>
      <c r="F409" s="82"/>
    </row>
    <row r="410" spans="4:5" ht="12">
      <c r="D410" s="6"/>
      <c r="E410" s="6"/>
    </row>
    <row r="412" ht="12.75">
      <c r="B412" s="77" t="s">
        <v>208</v>
      </c>
    </row>
    <row r="413" ht="12">
      <c r="B413" s="78" t="s">
        <v>209</v>
      </c>
    </row>
    <row r="414" ht="12">
      <c r="B414" s="78"/>
    </row>
    <row r="415" spans="2:4" ht="12.75">
      <c r="B415" s="78"/>
      <c r="D415" s="80"/>
    </row>
    <row r="417" spans="1:7" ht="12.75">
      <c r="A417" s="10" t="s">
        <v>29</v>
      </c>
      <c r="B417" s="19"/>
      <c r="C417" s="1"/>
      <c r="D417" s="1"/>
      <c r="E417" s="1"/>
      <c r="F417" s="1"/>
      <c r="G417" s="1"/>
    </row>
    <row r="418" spans="1:7" ht="12.75">
      <c r="A418" s="10"/>
      <c r="B418" s="19"/>
      <c r="C418" s="1"/>
      <c r="D418" s="1"/>
      <c r="E418" s="1"/>
      <c r="F418" s="1"/>
      <c r="G418" s="1"/>
    </row>
    <row r="419" spans="1:7" ht="12.75">
      <c r="A419" s="10"/>
      <c r="B419" s="19"/>
      <c r="C419" s="1"/>
      <c r="D419" s="1"/>
      <c r="E419" s="1"/>
      <c r="F419" s="1"/>
      <c r="G419" s="1"/>
    </row>
    <row r="420" spans="2:7" ht="12">
      <c r="B420" s="1"/>
      <c r="C420" s="1"/>
      <c r="D420" s="1"/>
      <c r="E420" s="1"/>
      <c r="F420" s="1"/>
      <c r="G420" s="1"/>
    </row>
    <row r="421" spans="2:7" ht="12">
      <c r="B421" s="2" t="s">
        <v>194</v>
      </c>
      <c r="C421" s="1"/>
      <c r="D421" s="1"/>
      <c r="E421" s="1"/>
      <c r="F421" s="1"/>
      <c r="G421" s="1"/>
    </row>
    <row r="422" ht="12">
      <c r="B422" s="2" t="s">
        <v>10</v>
      </c>
    </row>
    <row r="423" ht="12.75">
      <c r="B423" s="2" t="s">
        <v>103</v>
      </c>
    </row>
    <row r="425" ht="12">
      <c r="B425" s="2" t="s">
        <v>170</v>
      </c>
    </row>
    <row r="426" ht="12">
      <c r="B426" s="2" t="s">
        <v>101</v>
      </c>
    </row>
    <row r="427" ht="12">
      <c r="B427" s="2" t="s">
        <v>102</v>
      </c>
    </row>
    <row r="430" spans="3:6" ht="12.75">
      <c r="C430" s="80" t="s">
        <v>116</v>
      </c>
      <c r="F430" s="12">
        <f>'2019 Certified Estimate'!I366</f>
        <v>1499052393</v>
      </c>
    </row>
    <row r="432" ht="12">
      <c r="C432" s="11" t="s">
        <v>14</v>
      </c>
    </row>
    <row r="433" spans="3:6" ht="12.75">
      <c r="C433" s="80" t="s">
        <v>119</v>
      </c>
      <c r="F433" s="12">
        <f>'2019 Certified Estimate'!I370</f>
        <v>1487654179</v>
      </c>
    </row>
    <row r="435" ht="12">
      <c r="C435" s="13" t="s">
        <v>69</v>
      </c>
    </row>
    <row r="436" spans="3:6" ht="15">
      <c r="C436" s="81" t="s">
        <v>126</v>
      </c>
      <c r="F436" s="12">
        <f>'2019 Certified Estimate'!I382</f>
        <v>1011976750</v>
      </c>
    </row>
    <row r="438" spans="3:6" ht="12">
      <c r="C438" s="3" t="s">
        <v>120</v>
      </c>
      <c r="F438" s="8">
        <f>'2019 Certified Estimate'!I388</f>
        <v>17867</v>
      </c>
    </row>
    <row r="440" spans="3:6" ht="12">
      <c r="C440" s="3" t="s">
        <v>121</v>
      </c>
      <c r="F440" s="8">
        <f>'2019 Certified Estimate'!I387</f>
        <v>8332756</v>
      </c>
    </row>
    <row r="442" spans="3:6" ht="12">
      <c r="C442" s="9" t="s">
        <v>124</v>
      </c>
      <c r="F442" s="12">
        <f>'2019 Certified Estimate'!I368</f>
        <v>-1332374</v>
      </c>
    </row>
    <row r="444" ht="12">
      <c r="C444" s="3"/>
    </row>
    <row r="450" spans="3:6" ht="12">
      <c r="C450" s="79"/>
      <c r="D450" s="17"/>
      <c r="E450" s="6"/>
      <c r="F450" s="79"/>
    </row>
    <row r="451" spans="3:6" ht="12">
      <c r="C451" s="6" t="s">
        <v>20</v>
      </c>
      <c r="D451" s="6"/>
      <c r="E451" s="6"/>
      <c r="F451" s="6" t="s">
        <v>21</v>
      </c>
    </row>
    <row r="452" spans="3:6" ht="12">
      <c r="C452" s="6"/>
      <c r="D452" s="6"/>
      <c r="E452" s="6"/>
      <c r="F452" s="6"/>
    </row>
    <row r="454" ht="12.75">
      <c r="B454" s="77" t="s">
        <v>208</v>
      </c>
    </row>
    <row r="455" spans="2:6" ht="12">
      <c r="B455" s="78" t="s">
        <v>209</v>
      </c>
      <c r="C455" s="6"/>
      <c r="D455" s="6"/>
      <c r="E455" s="6"/>
      <c r="F455" s="6"/>
    </row>
    <row r="456" spans="1:7" ht="12.75">
      <c r="A456" s="10"/>
      <c r="B456" s="19"/>
      <c r="C456" s="1"/>
      <c r="D456" s="1"/>
      <c r="E456" s="1"/>
      <c r="F456" s="1"/>
      <c r="G456" s="1"/>
    </row>
    <row r="457" spans="1:7" ht="12.75">
      <c r="A457" s="10"/>
      <c r="B457" s="19"/>
      <c r="C457" s="1"/>
      <c r="D457" s="1"/>
      <c r="E457" s="1"/>
      <c r="F457" s="1"/>
      <c r="G457" s="1"/>
    </row>
    <row r="458" spans="1:7" ht="12.75">
      <c r="A458" s="10"/>
      <c r="B458" s="19"/>
      <c r="C458" s="1"/>
      <c r="D458" s="1"/>
      <c r="E458" s="1"/>
      <c r="F458" s="1"/>
      <c r="G458" s="1"/>
    </row>
    <row r="459" spans="1:7" ht="12.75">
      <c r="A459" s="10"/>
      <c r="B459" s="10" t="s">
        <v>28</v>
      </c>
      <c r="C459" s="1"/>
      <c r="D459" s="1"/>
      <c r="E459" s="1"/>
      <c r="F459" s="1"/>
      <c r="G459" s="1"/>
    </row>
    <row r="460" spans="2:7" ht="12">
      <c r="B460" s="1"/>
      <c r="C460" s="1"/>
      <c r="D460" s="1"/>
      <c r="E460" s="1"/>
      <c r="F460" s="1"/>
      <c r="G460" s="1"/>
    </row>
    <row r="461" spans="2:7" ht="12">
      <c r="B461" s="2" t="s">
        <v>194</v>
      </c>
      <c r="C461" s="1"/>
      <c r="D461" s="1"/>
      <c r="E461" s="1"/>
      <c r="F461" s="1"/>
      <c r="G461" s="1"/>
    </row>
    <row r="462" ht="12">
      <c r="B462" s="2" t="s">
        <v>10</v>
      </c>
    </row>
    <row r="463" ht="12.75">
      <c r="B463" s="2" t="s">
        <v>103</v>
      </c>
    </row>
    <row r="465" ht="12">
      <c r="B465" s="2" t="s">
        <v>170</v>
      </c>
    </row>
    <row r="466" ht="12">
      <c r="B466" s="2" t="s">
        <v>101</v>
      </c>
    </row>
    <row r="467" ht="12">
      <c r="B467" s="2" t="s">
        <v>102</v>
      </c>
    </row>
    <row r="470" spans="3:6" ht="12.75">
      <c r="C470" s="80" t="s">
        <v>117</v>
      </c>
      <c r="F470" s="12">
        <f>'2019 Certified Estimate'!I405</f>
        <v>279555770</v>
      </c>
    </row>
    <row r="472" ht="12">
      <c r="C472" s="11" t="s">
        <v>14</v>
      </c>
    </row>
    <row r="473" spans="3:6" ht="12.75">
      <c r="C473" s="80" t="s">
        <v>119</v>
      </c>
      <c r="F473" s="12">
        <f>'2019 Certified Estimate'!I409</f>
        <v>277658210</v>
      </c>
    </row>
    <row r="475" ht="12">
      <c r="C475" s="13" t="s">
        <v>69</v>
      </c>
    </row>
    <row r="476" spans="3:6" ht="15">
      <c r="C476" s="81" t="s">
        <v>126</v>
      </c>
      <c r="F476" s="12">
        <f>'2019 Certified Estimate'!I421</f>
        <v>233678187</v>
      </c>
    </row>
    <row r="478" spans="3:6" ht="12">
      <c r="C478" s="3" t="s">
        <v>120</v>
      </c>
      <c r="F478" s="8">
        <f>'2019 Certified Estimate'!I427</f>
        <v>1883</v>
      </c>
    </row>
    <row r="480" spans="3:6" ht="12">
      <c r="C480" s="3" t="s">
        <v>121</v>
      </c>
      <c r="F480" s="8">
        <f>'2019 Certified Estimate'!I426</f>
        <v>1922110</v>
      </c>
    </row>
    <row r="482" spans="3:6" ht="12">
      <c r="C482" s="9" t="s">
        <v>124</v>
      </c>
      <c r="F482" s="12">
        <f>'2019 Certified Estimate'!I407</f>
        <v>-83420</v>
      </c>
    </row>
    <row r="483" ht="12">
      <c r="F483" s="5"/>
    </row>
    <row r="484" spans="3:6" ht="12">
      <c r="C484" s="9"/>
      <c r="F484" s="5"/>
    </row>
    <row r="485" ht="12">
      <c r="F485" s="5"/>
    </row>
    <row r="486" spans="3:6" ht="12">
      <c r="C486" s="9"/>
      <c r="F486" s="5"/>
    </row>
    <row r="495" spans="3:6" ht="12">
      <c r="C495" s="79"/>
      <c r="D495" s="17"/>
      <c r="E495" s="6"/>
      <c r="F495" s="79"/>
    </row>
    <row r="496" spans="3:6" ht="12">
      <c r="C496" s="6" t="s">
        <v>20</v>
      </c>
      <c r="F496" s="6" t="s">
        <v>21</v>
      </c>
    </row>
    <row r="498" spans="3:6" ht="12">
      <c r="C498" s="6"/>
      <c r="D498" s="6"/>
      <c r="E498" s="6"/>
      <c r="F498" s="6"/>
    </row>
    <row r="499" ht="12.75">
      <c r="B499" s="77" t="s">
        <v>208</v>
      </c>
    </row>
    <row r="500" ht="12">
      <c r="B500" s="78" t="s">
        <v>209</v>
      </c>
    </row>
    <row r="501" ht="12">
      <c r="B501" s="78"/>
    </row>
    <row r="502" ht="12">
      <c r="B502" s="78"/>
    </row>
    <row r="503" ht="12">
      <c r="B503" s="78"/>
    </row>
    <row r="504" ht="12.75">
      <c r="B504" s="77"/>
    </row>
    <row r="505" spans="1:7" ht="12.75">
      <c r="A505" s="10" t="s">
        <v>114</v>
      </c>
      <c r="B505" s="19"/>
      <c r="C505" s="1"/>
      <c r="D505" s="1"/>
      <c r="E505" s="1"/>
      <c r="F505" s="1"/>
      <c r="G505" s="1"/>
    </row>
    <row r="506" spans="1:7" ht="12.75">
      <c r="A506" s="10"/>
      <c r="B506" s="19"/>
      <c r="C506" s="1"/>
      <c r="D506" s="1"/>
      <c r="E506" s="1"/>
      <c r="F506" s="1"/>
      <c r="G506" s="1"/>
    </row>
    <row r="507" spans="1:7" ht="12.75">
      <c r="A507" s="10"/>
      <c r="B507" s="19"/>
      <c r="C507" s="1"/>
      <c r="D507" s="1"/>
      <c r="E507" s="1"/>
      <c r="F507" s="1"/>
      <c r="G507" s="1"/>
    </row>
    <row r="508" spans="2:7" ht="12">
      <c r="B508" s="1"/>
      <c r="C508" s="1"/>
      <c r="D508" s="1"/>
      <c r="E508" s="1"/>
      <c r="F508" s="1"/>
      <c r="G508" s="1"/>
    </row>
    <row r="509" spans="2:7" ht="12">
      <c r="B509" s="2" t="s">
        <v>194</v>
      </c>
      <c r="C509" s="1"/>
      <c r="D509" s="1"/>
      <c r="E509" s="1"/>
      <c r="F509" s="1"/>
      <c r="G509" s="1"/>
    </row>
    <row r="510" ht="12">
      <c r="B510" s="2" t="s">
        <v>10</v>
      </c>
    </row>
    <row r="511" ht="12.75">
      <c r="B511" s="2" t="s">
        <v>103</v>
      </c>
    </row>
    <row r="513" ht="12">
      <c r="B513" s="2" t="s">
        <v>170</v>
      </c>
    </row>
    <row r="514" ht="12">
      <c r="B514" s="2" t="s">
        <v>101</v>
      </c>
    </row>
    <row r="515" ht="12">
      <c r="B515" s="2" t="s">
        <v>102</v>
      </c>
    </row>
    <row r="518" spans="3:6" ht="12.75">
      <c r="C518" s="80" t="s">
        <v>116</v>
      </c>
      <c r="F518" s="12">
        <f>'2019 Certified Estimate'!I444</f>
        <v>304353534</v>
      </c>
    </row>
    <row r="520" ht="12">
      <c r="C520" s="11" t="s">
        <v>14</v>
      </c>
    </row>
    <row r="521" spans="3:6" ht="12.75">
      <c r="C521" s="80" t="s">
        <v>118</v>
      </c>
      <c r="F521" s="12">
        <f>'2019 Certified Estimate'!I448</f>
        <v>302882244</v>
      </c>
    </row>
    <row r="523" ht="12">
      <c r="C523" s="13" t="s">
        <v>69</v>
      </c>
    </row>
    <row r="524" spans="3:6" ht="15">
      <c r="C524" s="81" t="s">
        <v>126</v>
      </c>
      <c r="F524" s="12">
        <f>'2019 Certified Estimate'!I460</f>
        <v>292404754</v>
      </c>
    </row>
    <row r="526" spans="3:6" ht="12">
      <c r="C526" s="3" t="s">
        <v>120</v>
      </c>
      <c r="F526" s="8">
        <f>'2019 Certified Estimate'!I466</f>
        <v>1460</v>
      </c>
    </row>
    <row r="528" spans="3:6" ht="12">
      <c r="C528" s="3" t="s">
        <v>121</v>
      </c>
      <c r="F528" s="8">
        <f>'2019 Certified Estimate'!I465</f>
        <v>2926120</v>
      </c>
    </row>
    <row r="529" spans="3:6" ht="12">
      <c r="C529" s="3"/>
      <c r="F529" s="8"/>
    </row>
    <row r="530" spans="3:6" ht="12">
      <c r="C530" s="3" t="s">
        <v>122</v>
      </c>
      <c r="F530" s="8">
        <f>'2019 Certified Estimate'!F461</f>
        <v>23312050</v>
      </c>
    </row>
    <row r="531" ht="12">
      <c r="F531" s="8"/>
    </row>
    <row r="532" spans="3:6" ht="12">
      <c r="C532" s="3" t="s">
        <v>123</v>
      </c>
      <c r="F532" s="243">
        <f>'2019 Certified Estimate'!F462</f>
        <v>102214.98</v>
      </c>
    </row>
    <row r="534" spans="3:6" ht="12">
      <c r="C534" s="9" t="s">
        <v>124</v>
      </c>
      <c r="F534" s="12">
        <f>'2019 Certified Estimate'!I446</f>
        <v>-65120</v>
      </c>
    </row>
    <row r="535" ht="12">
      <c r="F535" s="5"/>
    </row>
    <row r="536" spans="3:6" ht="12">
      <c r="C536" s="9"/>
      <c r="F536" s="5"/>
    </row>
    <row r="543" spans="3:6" ht="12">
      <c r="C543" s="79"/>
      <c r="D543" s="17"/>
      <c r="E543" s="6"/>
      <c r="F543" s="79"/>
    </row>
    <row r="544" spans="3:6" ht="12">
      <c r="C544" s="6" t="s">
        <v>20</v>
      </c>
      <c r="F544" s="6" t="s">
        <v>21</v>
      </c>
    </row>
    <row r="546" spans="3:6" ht="12">
      <c r="C546" s="6"/>
      <c r="D546" s="6"/>
      <c r="E546" s="6"/>
      <c r="F546" s="6"/>
    </row>
    <row r="547" ht="12.75">
      <c r="B547" s="77" t="s">
        <v>208</v>
      </c>
    </row>
    <row r="548" ht="12">
      <c r="B548" s="78" t="s">
        <v>209</v>
      </c>
    </row>
    <row r="549" ht="12">
      <c r="B549" s="78"/>
    </row>
    <row r="550" ht="12">
      <c r="B550" s="78"/>
    </row>
    <row r="551" spans="1:7" ht="12.75">
      <c r="A551" s="2" t="s">
        <v>198</v>
      </c>
      <c r="B551" s="412" t="s">
        <v>7</v>
      </c>
      <c r="C551" s="412"/>
      <c r="D551" s="412"/>
      <c r="E551" s="412"/>
      <c r="F551" s="412"/>
      <c r="G551" s="412"/>
    </row>
    <row r="552" ht="12">
      <c r="B552" s="78"/>
    </row>
    <row r="553" ht="12">
      <c r="B553" s="2" t="s">
        <v>194</v>
      </c>
    </row>
    <row r="554" ht="12">
      <c r="B554" s="2" t="s">
        <v>10</v>
      </c>
    </row>
    <row r="555" ht="12.75">
      <c r="B555" s="2" t="s">
        <v>103</v>
      </c>
    </row>
    <row r="557" ht="12">
      <c r="B557" s="2" t="s">
        <v>170</v>
      </c>
    </row>
    <row r="558" ht="12">
      <c r="B558" s="2" t="s">
        <v>101</v>
      </c>
    </row>
    <row r="559" ht="12">
      <c r="B559" s="2" t="s">
        <v>102</v>
      </c>
    </row>
    <row r="562" spans="3:6" ht="12.75">
      <c r="C562" s="80" t="s">
        <v>117</v>
      </c>
      <c r="F562" s="12">
        <f>'2019 Certified Estimate'!I483</f>
        <v>206721936</v>
      </c>
    </row>
    <row r="564" ht="12">
      <c r="C564" s="11" t="s">
        <v>14</v>
      </c>
    </row>
    <row r="565" spans="3:6" ht="12.75">
      <c r="C565" s="80" t="s">
        <v>119</v>
      </c>
      <c r="F565" s="12">
        <f>'2019 Certified Estimate'!I487</f>
        <v>206224946</v>
      </c>
    </row>
    <row r="567" ht="12">
      <c r="C567" s="13" t="s">
        <v>69</v>
      </c>
    </row>
    <row r="568" spans="3:6" ht="15">
      <c r="C568" s="81" t="s">
        <v>126</v>
      </c>
      <c r="F568" s="15">
        <f>'2019 Certified Estimate'!I499</f>
        <v>193038096</v>
      </c>
    </row>
    <row r="570" spans="3:6" ht="12">
      <c r="C570" s="3" t="s">
        <v>120</v>
      </c>
      <c r="F570" s="8">
        <f>'2019 Certified Estimate'!I505</f>
        <v>4098</v>
      </c>
    </row>
    <row r="572" spans="3:6" ht="12">
      <c r="C572" s="3" t="s">
        <v>121</v>
      </c>
      <c r="F572" s="8">
        <f>'2019 Certified Estimate'!I504</f>
        <v>542260</v>
      </c>
    </row>
    <row r="574" spans="3:6" ht="12">
      <c r="C574" s="9" t="s">
        <v>124</v>
      </c>
      <c r="F574" s="12">
        <f>'2019 Certified Estimate'!I485</f>
        <v>-45520</v>
      </c>
    </row>
    <row r="587" spans="3:6" ht="12">
      <c r="C587" s="79"/>
      <c r="D587" s="17"/>
      <c r="E587" s="6"/>
      <c r="F587" s="79"/>
    </row>
    <row r="588" spans="3:6" ht="12">
      <c r="C588" s="6" t="s">
        <v>20</v>
      </c>
      <c r="F588" s="6" t="s">
        <v>21</v>
      </c>
    </row>
    <row r="590" ht="12.75">
      <c r="B590" s="77" t="s">
        <v>208</v>
      </c>
    </row>
    <row r="591" ht="12">
      <c r="B591" s="78" t="s">
        <v>209</v>
      </c>
    </row>
    <row r="595" spans="1:7" ht="12.75">
      <c r="A595" s="10" t="s">
        <v>79</v>
      </c>
      <c r="B595" s="19"/>
      <c r="C595" s="1"/>
      <c r="D595" s="1"/>
      <c r="E595" s="1"/>
      <c r="F595" s="1"/>
      <c r="G595" s="1"/>
    </row>
    <row r="596" spans="2:7" ht="12">
      <c r="B596" s="1"/>
      <c r="C596" s="1"/>
      <c r="D596" s="1"/>
      <c r="E596" s="1"/>
      <c r="F596" s="1"/>
      <c r="G596" s="1"/>
    </row>
    <row r="597" spans="2:7" ht="12">
      <c r="B597" s="1"/>
      <c r="C597" s="1"/>
      <c r="D597" s="1"/>
      <c r="E597" s="1"/>
      <c r="F597" s="1"/>
      <c r="G597" s="1"/>
    </row>
    <row r="599" ht="12">
      <c r="B599" s="2" t="s">
        <v>194</v>
      </c>
    </row>
    <row r="600" ht="12">
      <c r="B600" s="2" t="s">
        <v>10</v>
      </c>
    </row>
    <row r="601" ht="12.75">
      <c r="B601" s="2" t="s">
        <v>103</v>
      </c>
    </row>
    <row r="603" ht="12">
      <c r="B603" s="2" t="s">
        <v>170</v>
      </c>
    </row>
    <row r="604" ht="12">
      <c r="B604" s="2" t="s">
        <v>101</v>
      </c>
    </row>
    <row r="605" ht="12">
      <c r="B605" s="2" t="s">
        <v>102</v>
      </c>
    </row>
    <row r="608" spans="3:6" ht="12.75">
      <c r="C608" s="80" t="s">
        <v>117</v>
      </c>
      <c r="F608" s="12">
        <f>'2019 Certified Estimate'!I522</f>
        <v>945572157</v>
      </c>
    </row>
    <row r="610" ht="12">
      <c r="C610" s="11" t="s">
        <v>14</v>
      </c>
    </row>
    <row r="611" spans="3:6" ht="12.75">
      <c r="C611" s="80" t="s">
        <v>118</v>
      </c>
      <c r="F611" s="12">
        <f>'2019 Certified Estimate'!I526</f>
        <v>899464517</v>
      </c>
    </row>
    <row r="613" ht="12">
      <c r="C613" s="13" t="s">
        <v>69</v>
      </c>
    </row>
    <row r="614" spans="3:6" ht="15">
      <c r="C614" s="14" t="s">
        <v>125</v>
      </c>
      <c r="F614" s="15">
        <f>'2019 Certified Estimate'!I538</f>
        <v>781237775</v>
      </c>
    </row>
    <row r="616" spans="3:6" ht="12">
      <c r="C616" s="3" t="s">
        <v>120</v>
      </c>
      <c r="F616" s="8">
        <f>'2019 Certified Estimate'!I544</f>
        <v>15902</v>
      </c>
    </row>
    <row r="618" spans="3:6" ht="12">
      <c r="C618" s="3" t="s">
        <v>121</v>
      </c>
      <c r="F618" s="8">
        <f>'2019 Certified Estimate'!I543</f>
        <v>9010324</v>
      </c>
    </row>
    <row r="620" spans="3:6" ht="12">
      <c r="C620" s="9" t="s">
        <v>124</v>
      </c>
      <c r="F620" s="12">
        <f>'2019 Certified Estimate'!I524</f>
        <v>-724950</v>
      </c>
    </row>
    <row r="621" ht="12">
      <c r="F621" s="65"/>
    </row>
    <row r="622" spans="3:6" ht="12">
      <c r="C622" s="9"/>
      <c r="F622" s="65"/>
    </row>
    <row r="623" ht="12">
      <c r="F623" s="65"/>
    </row>
    <row r="624" spans="3:6" ht="12">
      <c r="C624" s="9"/>
      <c r="F624" s="65"/>
    </row>
    <row r="634" spans="3:6" ht="12">
      <c r="C634" s="79"/>
      <c r="D634" s="17"/>
      <c r="E634" s="6"/>
      <c r="F634" s="79"/>
    </row>
    <row r="635" spans="3:6" ht="12">
      <c r="C635" s="6" t="s">
        <v>20</v>
      </c>
      <c r="F635" s="6" t="s">
        <v>21</v>
      </c>
    </row>
    <row r="637" spans="2:6" ht="12.75">
      <c r="B637" s="77" t="s">
        <v>208</v>
      </c>
      <c r="C637" s="6"/>
      <c r="D637" s="6"/>
      <c r="E637" s="6"/>
      <c r="F637" s="6"/>
    </row>
    <row r="638" spans="2:6" ht="12">
      <c r="B638" s="78" t="s">
        <v>209</v>
      </c>
      <c r="C638" s="6"/>
      <c r="D638" s="6"/>
      <c r="E638" s="6"/>
      <c r="F638" s="6"/>
    </row>
    <row r="641" spans="1:7" ht="12.75">
      <c r="A641" s="10" t="s">
        <v>107</v>
      </c>
      <c r="B641" s="19"/>
      <c r="C641" s="1"/>
      <c r="D641" s="1"/>
      <c r="E641" s="1"/>
      <c r="F641" s="1"/>
      <c r="G641" s="1"/>
    </row>
    <row r="642" spans="2:7" ht="12">
      <c r="B642" s="1"/>
      <c r="C642" s="1"/>
      <c r="D642" s="1"/>
      <c r="E642" s="1"/>
      <c r="F642" s="1"/>
      <c r="G642" s="1"/>
    </row>
    <row r="643" spans="2:7" ht="12">
      <c r="B643" s="1"/>
      <c r="C643" s="1"/>
      <c r="D643" s="1"/>
      <c r="E643" s="1"/>
      <c r="F643" s="1"/>
      <c r="G643" s="1"/>
    </row>
    <row r="645" ht="12">
      <c r="B645" s="2" t="s">
        <v>194</v>
      </c>
    </row>
    <row r="646" ht="12">
      <c r="B646" s="2" t="s">
        <v>10</v>
      </c>
    </row>
    <row r="647" ht="12.75">
      <c r="B647" s="2" t="s">
        <v>103</v>
      </c>
    </row>
    <row r="649" ht="12">
      <c r="B649" s="2" t="s">
        <v>170</v>
      </c>
    </row>
    <row r="650" ht="12">
      <c r="B650" s="2" t="s">
        <v>101</v>
      </c>
    </row>
    <row r="651" ht="12">
      <c r="B651" s="2" t="s">
        <v>102</v>
      </c>
    </row>
    <row r="654" spans="3:6" ht="12.75">
      <c r="C654" s="80" t="s">
        <v>117</v>
      </c>
      <c r="F654" s="12">
        <f>'2019 Certified Estimate'!I561</f>
        <v>237030967</v>
      </c>
    </row>
    <row r="656" ht="12">
      <c r="C656" s="11" t="s">
        <v>14</v>
      </c>
    </row>
    <row r="657" spans="3:6" ht="12.75">
      <c r="C657" s="80" t="s">
        <v>119</v>
      </c>
      <c r="F657" s="12">
        <f>'2019 Certified Estimate'!I565</f>
        <v>184503057</v>
      </c>
    </row>
    <row r="659" ht="12">
      <c r="C659" s="13" t="s">
        <v>69</v>
      </c>
    </row>
    <row r="660" spans="3:6" ht="15">
      <c r="C660" s="81" t="s">
        <v>126</v>
      </c>
      <c r="F660" s="15">
        <f>'2019 Certified Estimate'!I577</f>
        <v>164770474</v>
      </c>
    </row>
    <row r="662" spans="3:6" ht="12">
      <c r="C662" s="3" t="s">
        <v>120</v>
      </c>
      <c r="F662" s="8">
        <f>'2019 Certified Estimate'!I583</f>
        <v>14618</v>
      </c>
    </row>
    <row r="664" spans="3:6" ht="12">
      <c r="C664" s="3" t="s">
        <v>121</v>
      </c>
      <c r="F664" s="8">
        <f>'2019 Certified Estimate'!I582</f>
        <v>1270086</v>
      </c>
    </row>
    <row r="665" ht="12">
      <c r="F665" s="5"/>
    </row>
    <row r="666" spans="3:6" ht="12">
      <c r="C666" s="9" t="s">
        <v>124</v>
      </c>
      <c r="F666" s="12">
        <f>'2019 Certified Estimate'!I563</f>
        <v>-224460</v>
      </c>
    </row>
    <row r="674" spans="3:6" ht="12">
      <c r="C674" s="79"/>
      <c r="D674" s="17"/>
      <c r="E674" s="6"/>
      <c r="F674" s="79"/>
    </row>
    <row r="675" spans="3:6" ht="12">
      <c r="C675" s="6" t="s">
        <v>20</v>
      </c>
      <c r="D675" s="6"/>
      <c r="E675" s="6"/>
      <c r="F675" s="6" t="s">
        <v>21</v>
      </c>
    </row>
    <row r="676" spans="3:6" ht="12">
      <c r="C676" s="6"/>
      <c r="D676" s="6"/>
      <c r="E676" s="6"/>
      <c r="F676" s="6"/>
    </row>
    <row r="677" spans="2:6" ht="12.75">
      <c r="B677" s="77" t="s">
        <v>208</v>
      </c>
      <c r="C677" s="6"/>
      <c r="D677" s="6"/>
      <c r="E677" s="6"/>
      <c r="F677" s="6"/>
    </row>
    <row r="678" ht="12">
      <c r="B678" s="78" t="s">
        <v>209</v>
      </c>
    </row>
    <row r="680" spans="1:7" ht="12.75">
      <c r="A680" s="10" t="s">
        <v>106</v>
      </c>
      <c r="B680" s="1"/>
      <c r="C680" s="1"/>
      <c r="D680" s="1"/>
      <c r="E680" s="1"/>
      <c r="F680" s="1"/>
      <c r="G680" s="1"/>
    </row>
    <row r="681" spans="2:7" ht="12">
      <c r="B681" s="1"/>
      <c r="C681" s="1"/>
      <c r="D681" s="1"/>
      <c r="E681" s="1"/>
      <c r="F681" s="1"/>
      <c r="G681" s="1"/>
    </row>
    <row r="683" ht="12">
      <c r="B683" s="2" t="s">
        <v>194</v>
      </c>
    </row>
    <row r="684" ht="12">
      <c r="B684" s="2" t="s">
        <v>10</v>
      </c>
    </row>
    <row r="685" ht="12.75">
      <c r="B685" s="2" t="s">
        <v>103</v>
      </c>
    </row>
    <row r="687" ht="12">
      <c r="B687" s="2" t="s">
        <v>170</v>
      </c>
    </row>
    <row r="688" ht="12">
      <c r="B688" s="2" t="s">
        <v>101</v>
      </c>
    </row>
    <row r="689" ht="12">
      <c r="B689" s="2" t="s">
        <v>102</v>
      </c>
    </row>
    <row r="692" spans="3:6" ht="12.75">
      <c r="C692" s="80" t="s">
        <v>116</v>
      </c>
      <c r="F692" s="12">
        <f>'2019 Certified Estimate'!I600</f>
        <v>866578642</v>
      </c>
    </row>
    <row r="694" ht="12">
      <c r="C694" s="11" t="s">
        <v>14</v>
      </c>
    </row>
    <row r="695" spans="3:6" ht="12.75">
      <c r="C695" s="80" t="s">
        <v>119</v>
      </c>
      <c r="F695" s="12">
        <f>'2019 Certified Estimate'!I604</f>
        <v>728052809</v>
      </c>
    </row>
    <row r="697" ht="12">
      <c r="C697" s="13" t="s">
        <v>69</v>
      </c>
    </row>
    <row r="698" spans="3:6" ht="15">
      <c r="C698" s="81" t="s">
        <v>126</v>
      </c>
      <c r="F698" s="15">
        <f>'2019 Certified Estimate'!I616</f>
        <v>649473951</v>
      </c>
    </row>
    <row r="700" spans="3:6" ht="12">
      <c r="C700" s="3" t="s">
        <v>120</v>
      </c>
      <c r="F700" s="8">
        <f>'2019 Certified Estimate'!I622</f>
        <v>42259</v>
      </c>
    </row>
    <row r="702" spans="3:6" ht="12">
      <c r="C702" s="3" t="s">
        <v>121</v>
      </c>
      <c r="F702" s="8">
        <f>'2019 Certified Estimate'!I621</f>
        <v>3156999</v>
      </c>
    </row>
    <row r="704" spans="3:6" ht="12">
      <c r="C704" s="9" t="s">
        <v>124</v>
      </c>
      <c r="F704" s="12">
        <f>'2019 Certified Estimate'!I602</f>
        <v>-880683</v>
      </c>
    </row>
    <row r="705" ht="12">
      <c r="F705" s="65"/>
    </row>
    <row r="706" spans="3:6" ht="12">
      <c r="C706" s="9"/>
      <c r="F706" s="65"/>
    </row>
    <row r="707" ht="12">
      <c r="F707" s="65"/>
    </row>
    <row r="708" spans="3:6" ht="12">
      <c r="C708" s="9"/>
      <c r="F708" s="65"/>
    </row>
    <row r="718" spans="3:6" ht="12">
      <c r="C718" s="79"/>
      <c r="D718" s="17"/>
      <c r="E718" s="6"/>
      <c r="F718" s="79"/>
    </row>
    <row r="719" spans="3:6" ht="12">
      <c r="C719" s="6" t="s">
        <v>20</v>
      </c>
      <c r="F719" s="6" t="s">
        <v>21</v>
      </c>
    </row>
    <row r="721" spans="2:6" ht="12.75">
      <c r="B721" s="77" t="s">
        <v>208</v>
      </c>
      <c r="C721" s="6"/>
      <c r="D721" s="6"/>
      <c r="E721" s="6"/>
      <c r="F721" s="6"/>
    </row>
    <row r="722" ht="12">
      <c r="B722" s="78" t="s">
        <v>209</v>
      </c>
    </row>
    <row r="724" spans="2:7" ht="12.75">
      <c r="B724" s="19"/>
      <c r="C724" s="1"/>
      <c r="D724" s="1"/>
      <c r="E724" s="1"/>
      <c r="F724" s="1"/>
      <c r="G724" s="1"/>
    </row>
    <row r="725" spans="1:7" ht="12.75">
      <c r="A725" s="10"/>
      <c r="B725" s="19"/>
      <c r="C725" s="1"/>
      <c r="D725" s="1"/>
      <c r="E725" s="1"/>
      <c r="F725" s="1"/>
      <c r="G725" s="1"/>
    </row>
    <row r="726" spans="1:7" ht="12.75">
      <c r="A726" s="10" t="s">
        <v>105</v>
      </c>
      <c r="B726" s="19"/>
      <c r="C726" s="1"/>
      <c r="D726" s="1"/>
      <c r="E726" s="1"/>
      <c r="F726" s="1"/>
      <c r="G726" s="1"/>
    </row>
    <row r="727" spans="2:7" ht="12">
      <c r="B727" s="1"/>
      <c r="C727" s="1"/>
      <c r="D727" s="1"/>
      <c r="E727" s="1"/>
      <c r="F727" s="1"/>
      <c r="G727" s="1"/>
    </row>
    <row r="728" spans="2:7" ht="12">
      <c r="B728" s="1"/>
      <c r="C728" s="1"/>
      <c r="D728" s="1"/>
      <c r="E728" s="1"/>
      <c r="F728" s="1"/>
      <c r="G728" s="1"/>
    </row>
    <row r="730" ht="12">
      <c r="B730" s="2" t="s">
        <v>194</v>
      </c>
    </row>
    <row r="731" ht="12">
      <c r="B731" s="2" t="s">
        <v>10</v>
      </c>
    </row>
    <row r="732" ht="12.75">
      <c r="B732" s="2" t="s">
        <v>103</v>
      </c>
    </row>
    <row r="734" ht="12">
      <c r="B734" s="2" t="s">
        <v>170</v>
      </c>
    </row>
    <row r="735" ht="12">
      <c r="B735" s="2" t="s">
        <v>101</v>
      </c>
    </row>
    <row r="736" ht="12">
      <c r="B736" s="2" t="s">
        <v>102</v>
      </c>
    </row>
    <row r="739" spans="3:6" ht="12.75">
      <c r="C739" s="80" t="s">
        <v>116</v>
      </c>
      <c r="F739" s="12">
        <f>'2019 Certified Estimate'!I639</f>
        <v>599169281</v>
      </c>
    </row>
    <row r="741" ht="12">
      <c r="C741" s="11" t="s">
        <v>14</v>
      </c>
    </row>
    <row r="742" spans="3:6" ht="12.75">
      <c r="C742" s="80" t="s">
        <v>118</v>
      </c>
      <c r="F742" s="12">
        <f>'2019 Certified Estimate'!I643</f>
        <v>545841611</v>
      </c>
    </row>
    <row r="744" ht="12">
      <c r="C744" s="13" t="s">
        <v>69</v>
      </c>
    </row>
    <row r="745" spans="3:6" ht="15">
      <c r="C745" s="81" t="s">
        <v>126</v>
      </c>
      <c r="F745" s="15">
        <f>'2019 Certified Estimate'!I655</f>
        <v>501243388</v>
      </c>
    </row>
    <row r="747" spans="3:6" ht="12">
      <c r="C747" s="3" t="s">
        <v>120</v>
      </c>
      <c r="F747" s="8">
        <f>'2019 Certified Estimate'!I661</f>
        <v>41841</v>
      </c>
    </row>
    <row r="749" spans="3:6" ht="12">
      <c r="C749" s="3" t="s">
        <v>121</v>
      </c>
      <c r="F749" s="8">
        <f>'2019 Certified Estimate'!I660</f>
        <v>451360</v>
      </c>
    </row>
    <row r="751" spans="3:6" ht="12">
      <c r="C751" s="9" t="s">
        <v>124</v>
      </c>
      <c r="F751" s="12">
        <f>'2019 Certified Estimate'!I641</f>
        <v>-131290</v>
      </c>
    </row>
    <row r="752" ht="12">
      <c r="F752" s="65"/>
    </row>
    <row r="753" spans="3:6" ht="12">
      <c r="C753" s="9"/>
      <c r="F753" s="65"/>
    </row>
    <row r="754" ht="12">
      <c r="F754" s="65"/>
    </row>
    <row r="755" spans="3:6" ht="12">
      <c r="C755" s="9"/>
      <c r="F755" s="65"/>
    </row>
    <row r="764" spans="3:6" ht="12">
      <c r="C764" s="79"/>
      <c r="D764" s="17"/>
      <c r="E764" s="6"/>
      <c r="F764" s="79"/>
    </row>
    <row r="765" spans="3:6" ht="12">
      <c r="C765" s="6" t="s">
        <v>20</v>
      </c>
      <c r="F765" s="6" t="s">
        <v>21</v>
      </c>
    </row>
    <row r="766" spans="3:6" ht="12">
      <c r="C766" s="6"/>
      <c r="F766" s="6"/>
    </row>
    <row r="767" spans="3:6" ht="12">
      <c r="C767" s="6"/>
      <c r="F767" s="6"/>
    </row>
    <row r="768" spans="2:6" ht="12.75">
      <c r="B768" s="83" t="s">
        <v>208</v>
      </c>
      <c r="C768" s="6"/>
      <c r="F768" s="6"/>
    </row>
    <row r="769" spans="2:6" ht="12">
      <c r="B769" s="78" t="s">
        <v>209</v>
      </c>
      <c r="C769" s="6"/>
      <c r="F769" s="6"/>
    </row>
    <row r="770" spans="3:6" ht="12">
      <c r="C770" s="6"/>
      <c r="F770" s="6"/>
    </row>
    <row r="771" spans="3:6" ht="12">
      <c r="C771" s="6"/>
      <c r="F771" s="6"/>
    </row>
    <row r="772" spans="1:7" ht="12.75">
      <c r="A772" s="10" t="s">
        <v>159</v>
      </c>
      <c r="B772" s="19"/>
      <c r="C772" s="1"/>
      <c r="D772" s="1"/>
      <c r="E772" s="1"/>
      <c r="F772" s="1"/>
      <c r="G772" s="1"/>
    </row>
    <row r="773" spans="1:7" ht="12">
      <c r="A773" s="413"/>
      <c r="B773" s="413"/>
      <c r="C773" s="413"/>
      <c r="D773" s="413"/>
      <c r="E773" s="413"/>
      <c r="F773" s="413"/>
      <c r="G773" s="413"/>
    </row>
    <row r="774" spans="2:7" ht="12">
      <c r="B774" s="1"/>
      <c r="C774" s="1"/>
      <c r="D774" s="1"/>
      <c r="E774" s="1"/>
      <c r="F774" s="1"/>
      <c r="G774" s="1"/>
    </row>
    <row r="776" ht="12">
      <c r="B776" s="2" t="s">
        <v>194</v>
      </c>
    </row>
    <row r="777" ht="12">
      <c r="B777" s="2" t="s">
        <v>10</v>
      </c>
    </row>
    <row r="778" ht="12.75">
      <c r="B778" s="2" t="s">
        <v>103</v>
      </c>
    </row>
    <row r="780" ht="12">
      <c r="B780" s="2" t="s">
        <v>170</v>
      </c>
    </row>
    <row r="781" ht="12">
      <c r="B781" s="2" t="s">
        <v>101</v>
      </c>
    </row>
    <row r="782" ht="12">
      <c r="B782" s="2" t="s">
        <v>102</v>
      </c>
    </row>
    <row r="785" spans="3:6" ht="12.75">
      <c r="C785" s="80" t="s">
        <v>116</v>
      </c>
      <c r="F785" s="12">
        <f>'2019 Certified Estimate'!I677</f>
        <v>1062948752</v>
      </c>
    </row>
    <row r="787" ht="12">
      <c r="C787" s="11" t="s">
        <v>14</v>
      </c>
    </row>
    <row r="788" spans="3:6" ht="12.75">
      <c r="C788" s="80" t="s">
        <v>118</v>
      </c>
      <c r="F788" s="12">
        <f>'2019 Certified Estimate'!I681</f>
        <v>980611742</v>
      </c>
    </row>
    <row r="790" ht="12">
      <c r="C790" s="13" t="s">
        <v>69</v>
      </c>
    </row>
    <row r="791" spans="3:6" ht="15">
      <c r="C791" s="81" t="s">
        <v>126</v>
      </c>
      <c r="F791" s="15">
        <f>'2019 Certified Estimate'!I693</f>
        <v>815131208</v>
      </c>
    </row>
    <row r="793" spans="3:6" ht="12">
      <c r="C793" s="3" t="s">
        <v>120</v>
      </c>
      <c r="F793" s="8">
        <f>'2019 Certified Estimate'!I699</f>
        <v>32578</v>
      </c>
    </row>
    <row r="795" spans="3:6" ht="12">
      <c r="C795" s="3" t="s">
        <v>121</v>
      </c>
      <c r="F795" s="8">
        <f>'2019 Certified Estimate'!I698</f>
        <v>8486468</v>
      </c>
    </row>
    <row r="797" spans="3:6" ht="12">
      <c r="C797" s="9" t="s">
        <v>124</v>
      </c>
      <c r="F797" s="12">
        <f>'2019 Certified Estimate'!I679</f>
        <v>-676000</v>
      </c>
    </row>
    <row r="798" ht="12">
      <c r="F798" s="65"/>
    </row>
    <row r="799" spans="3:6" ht="12">
      <c r="C799" s="9"/>
      <c r="F799" s="65"/>
    </row>
    <row r="800" ht="12">
      <c r="F800" s="65"/>
    </row>
    <row r="801" spans="3:6" ht="12">
      <c r="C801" s="9"/>
      <c r="F801" s="65"/>
    </row>
    <row r="810" spans="3:6" ht="12">
      <c r="C810" s="79"/>
      <c r="D810" s="17"/>
      <c r="E810" s="6"/>
      <c r="F810" s="79"/>
    </row>
    <row r="811" spans="3:6" ht="12">
      <c r="C811" s="6" t="s">
        <v>20</v>
      </c>
      <c r="F811" s="6" t="s">
        <v>21</v>
      </c>
    </row>
    <row r="812" spans="3:6" ht="12">
      <c r="C812" s="6"/>
      <c r="F812" s="6"/>
    </row>
    <row r="813" spans="3:6" ht="12">
      <c r="C813" s="6"/>
      <c r="F813" s="6"/>
    </row>
    <row r="814" spans="2:6" ht="12.75">
      <c r="B814" s="83" t="s">
        <v>208</v>
      </c>
      <c r="C814" s="6"/>
      <c r="F814" s="6"/>
    </row>
    <row r="815" spans="2:6" ht="12">
      <c r="B815" s="78" t="s">
        <v>209</v>
      </c>
      <c r="C815" s="6"/>
      <c r="F815" s="6"/>
    </row>
    <row r="818" spans="1:7" ht="12.75">
      <c r="A818" s="10" t="s">
        <v>171</v>
      </c>
      <c r="B818" s="19"/>
      <c r="C818" s="1"/>
      <c r="D818" s="1"/>
      <c r="E818" s="1"/>
      <c r="F818" s="1"/>
      <c r="G818" s="1"/>
    </row>
    <row r="819" spans="1:7" ht="12">
      <c r="A819" s="413"/>
      <c r="B819" s="413"/>
      <c r="C819" s="413"/>
      <c r="D819" s="413"/>
      <c r="E819" s="413"/>
      <c r="F819" s="413"/>
      <c r="G819" s="413"/>
    </row>
    <row r="820" spans="2:7" ht="12">
      <c r="B820" s="1"/>
      <c r="C820" s="1"/>
      <c r="D820" s="1"/>
      <c r="E820" s="1"/>
      <c r="F820" s="1"/>
      <c r="G820" s="1"/>
    </row>
    <row r="822" ht="12">
      <c r="B822" s="2" t="s">
        <v>194</v>
      </c>
    </row>
    <row r="823" ht="12">
      <c r="B823" s="2" t="s">
        <v>10</v>
      </c>
    </row>
    <row r="824" ht="12.75">
      <c r="B824" s="2" t="s">
        <v>103</v>
      </c>
    </row>
    <row r="826" ht="12">
      <c r="B826" s="2" t="s">
        <v>170</v>
      </c>
    </row>
    <row r="827" ht="12">
      <c r="B827" s="2" t="s">
        <v>101</v>
      </c>
    </row>
    <row r="828" ht="12">
      <c r="B828" s="2" t="s">
        <v>102</v>
      </c>
    </row>
    <row r="831" spans="3:6" ht="12.75">
      <c r="C831" s="80" t="s">
        <v>116</v>
      </c>
      <c r="F831" s="12">
        <f>'2019 Certified Estimate'!I716</f>
        <v>258948018</v>
      </c>
    </row>
    <row r="833" ht="12">
      <c r="C833" s="11" t="s">
        <v>14</v>
      </c>
    </row>
    <row r="834" spans="3:6" ht="12.75">
      <c r="C834" s="80" t="s">
        <v>118</v>
      </c>
      <c r="F834" s="12">
        <f>'2019 Certified Estimate'!I720</f>
        <v>214337558</v>
      </c>
    </row>
    <row r="836" ht="12">
      <c r="C836" s="13" t="s">
        <v>69</v>
      </c>
    </row>
    <row r="837" spans="3:6" ht="15">
      <c r="C837" s="81" t="s">
        <v>126</v>
      </c>
      <c r="F837" s="15">
        <f>'2019 Certified Estimate'!I732</f>
        <v>189257601</v>
      </c>
    </row>
    <row r="839" spans="3:6" ht="12">
      <c r="C839" s="3" t="s">
        <v>120</v>
      </c>
      <c r="F839" s="8">
        <f>'2019 Certified Estimate'!I738</f>
        <v>15556</v>
      </c>
    </row>
    <row r="841" spans="3:6" ht="12">
      <c r="C841" s="3" t="s">
        <v>121</v>
      </c>
      <c r="F841" s="8">
        <f>'2019 Certified Estimate'!I737</f>
        <v>1660133</v>
      </c>
    </row>
    <row r="843" spans="3:6" ht="12">
      <c r="C843" s="9" t="s">
        <v>124</v>
      </c>
      <c r="F843" s="12">
        <f>'2019 Certified Estimate'!I718</f>
        <v>-242500</v>
      </c>
    </row>
    <row r="844" ht="12">
      <c r="F844" s="65"/>
    </row>
    <row r="845" spans="3:6" ht="12">
      <c r="C845" s="9"/>
      <c r="F845" s="65"/>
    </row>
    <row r="846" ht="12">
      <c r="F846" s="65"/>
    </row>
    <row r="847" spans="3:6" ht="12">
      <c r="C847" s="9"/>
      <c r="F847" s="65"/>
    </row>
    <row r="856" spans="3:6" ht="12">
      <c r="C856" s="79"/>
      <c r="D856" s="17"/>
      <c r="E856" s="6"/>
      <c r="F856" s="79"/>
    </row>
    <row r="857" spans="3:6" ht="12">
      <c r="C857" s="6" t="s">
        <v>20</v>
      </c>
      <c r="F857" s="6" t="s">
        <v>21</v>
      </c>
    </row>
    <row r="858" spans="3:6" ht="12">
      <c r="C858" s="6"/>
      <c r="F858" s="6"/>
    </row>
    <row r="859" spans="3:6" ht="12">
      <c r="C859" s="6"/>
      <c r="F859" s="6"/>
    </row>
    <row r="860" spans="2:6" ht="12.75">
      <c r="B860" s="83" t="s">
        <v>208</v>
      </c>
      <c r="C860" s="6"/>
      <c r="F860" s="6"/>
    </row>
    <row r="861" spans="2:6" ht="12">
      <c r="B861" s="78" t="s">
        <v>209</v>
      </c>
      <c r="C861" s="6"/>
      <c r="F861" s="6"/>
    </row>
    <row r="865" spans="1:7" ht="12.75">
      <c r="A865" s="10" t="s">
        <v>172</v>
      </c>
      <c r="B865" s="19"/>
      <c r="C865" s="1"/>
      <c r="D865" s="1"/>
      <c r="E865" s="1"/>
      <c r="F865" s="1"/>
      <c r="G865" s="1"/>
    </row>
    <row r="866" spans="1:7" ht="12">
      <c r="A866" s="413"/>
      <c r="B866" s="413"/>
      <c r="C866" s="413"/>
      <c r="D866" s="413"/>
      <c r="E866" s="413"/>
      <c r="F866" s="413"/>
      <c r="G866" s="413"/>
    </row>
    <row r="867" spans="2:7" ht="12">
      <c r="B867" s="1"/>
      <c r="C867" s="1"/>
      <c r="D867" s="1"/>
      <c r="E867" s="1"/>
      <c r="F867" s="1"/>
      <c r="G867" s="1"/>
    </row>
    <row r="869" ht="12">
      <c r="B869" s="2" t="s">
        <v>194</v>
      </c>
    </row>
    <row r="870" ht="12">
      <c r="B870" s="2" t="s">
        <v>10</v>
      </c>
    </row>
    <row r="871" ht="12.75">
      <c r="B871" s="2" t="s">
        <v>103</v>
      </c>
    </row>
    <row r="873" ht="12">
      <c r="B873" s="2" t="s">
        <v>170</v>
      </c>
    </row>
    <row r="874" ht="12">
      <c r="B874" s="2" t="s">
        <v>101</v>
      </c>
    </row>
    <row r="875" ht="12">
      <c r="B875" s="2" t="s">
        <v>102</v>
      </c>
    </row>
    <row r="878" spans="3:6" ht="12.75">
      <c r="C878" s="80" t="s">
        <v>116</v>
      </c>
      <c r="F878" s="12">
        <f>'2019 Certified Estimate'!I755</f>
        <v>524633761</v>
      </c>
    </row>
    <row r="880" ht="12">
      <c r="C880" s="11" t="s">
        <v>14</v>
      </c>
    </row>
    <row r="881" spans="3:6" ht="12.75">
      <c r="C881" s="80" t="s">
        <v>118</v>
      </c>
      <c r="F881" s="12">
        <f>'2019 Certified Estimate'!I759</f>
        <v>455439721</v>
      </c>
    </row>
    <row r="883" ht="12">
      <c r="C883" s="13" t="s">
        <v>69</v>
      </c>
    </row>
    <row r="884" spans="3:6" ht="15">
      <c r="C884" s="81" t="s">
        <v>126</v>
      </c>
      <c r="F884" s="15">
        <f>'2019 Certified Estimate'!I771</f>
        <v>410418975</v>
      </c>
    </row>
    <row r="886" spans="3:6" ht="12">
      <c r="C886" s="3" t="s">
        <v>120</v>
      </c>
      <c r="F886" s="8">
        <f>'2019 Certified Estimate'!I777</f>
        <v>29201</v>
      </c>
    </row>
    <row r="888" spans="3:6" ht="12">
      <c r="C888" s="3" t="s">
        <v>121</v>
      </c>
      <c r="F888" s="8">
        <f>'2019 Certified Estimate'!I776</f>
        <v>2497140</v>
      </c>
    </row>
    <row r="890" spans="3:6" ht="12">
      <c r="C890" s="9" t="s">
        <v>124</v>
      </c>
      <c r="F890" s="12">
        <f>'2019 Certified Estimate'!I757</f>
        <v>-317000</v>
      </c>
    </row>
    <row r="891" ht="12">
      <c r="F891" s="65"/>
    </row>
    <row r="892" spans="3:6" ht="12">
      <c r="C892" s="9"/>
      <c r="F892" s="65"/>
    </row>
    <row r="893" ht="12">
      <c r="F893" s="65"/>
    </row>
    <row r="894" spans="3:6" ht="12">
      <c r="C894" s="9"/>
      <c r="F894" s="65"/>
    </row>
    <row r="903" spans="3:6" ht="12">
      <c r="C903" s="79"/>
      <c r="D903" s="17"/>
      <c r="E903" s="6"/>
      <c r="F903" s="79"/>
    </row>
    <row r="904" spans="3:6" ht="12">
      <c r="C904" s="6" t="s">
        <v>20</v>
      </c>
      <c r="F904" s="6" t="s">
        <v>21</v>
      </c>
    </row>
    <row r="905" spans="3:6" ht="12">
      <c r="C905" s="6"/>
      <c r="F905" s="6"/>
    </row>
    <row r="906" spans="3:6" ht="12">
      <c r="C906" s="6"/>
      <c r="F906" s="6"/>
    </row>
    <row r="907" spans="2:6" ht="12.75">
      <c r="B907" s="83" t="s">
        <v>208</v>
      </c>
      <c r="C907" s="6"/>
      <c r="F907" s="6"/>
    </row>
    <row r="908" spans="2:6" ht="12">
      <c r="B908" s="78" t="s">
        <v>209</v>
      </c>
      <c r="C908" s="6"/>
      <c r="F908" s="6"/>
    </row>
    <row r="912" spans="1:7" ht="12.75">
      <c r="A912" s="10" t="s">
        <v>173</v>
      </c>
      <c r="B912" s="19"/>
      <c r="C912" s="1"/>
      <c r="D912" s="1"/>
      <c r="E912" s="1"/>
      <c r="F912" s="1"/>
      <c r="G912" s="1"/>
    </row>
    <row r="913" spans="1:7" ht="12">
      <c r="A913" s="413"/>
      <c r="B913" s="413"/>
      <c r="C913" s="413"/>
      <c r="D913" s="413"/>
      <c r="E913" s="413"/>
      <c r="F913" s="413"/>
      <c r="G913" s="413"/>
    </row>
    <row r="914" spans="2:7" ht="12">
      <c r="B914" s="1"/>
      <c r="C914" s="1"/>
      <c r="D914" s="1"/>
      <c r="E914" s="1"/>
      <c r="F914" s="1"/>
      <c r="G914" s="1"/>
    </row>
    <row r="916" ht="12">
      <c r="B916" s="2" t="s">
        <v>194</v>
      </c>
    </row>
    <row r="917" ht="12">
      <c r="B917" s="2" t="s">
        <v>10</v>
      </c>
    </row>
    <row r="918" ht="12.75">
      <c r="B918" s="2" t="s">
        <v>103</v>
      </c>
    </row>
    <row r="920" ht="12">
      <c r="B920" s="2" t="s">
        <v>170</v>
      </c>
    </row>
    <row r="921" ht="12">
      <c r="B921" s="2" t="s">
        <v>101</v>
      </c>
    </row>
    <row r="922" ht="12">
      <c r="B922" s="2" t="s">
        <v>102</v>
      </c>
    </row>
    <row r="925" spans="3:6" ht="12.75">
      <c r="C925" s="80" t="s">
        <v>116</v>
      </c>
      <c r="F925" s="12">
        <f>'2019 Certified Estimate'!I794</f>
        <v>316370510</v>
      </c>
    </row>
    <row r="927" ht="12">
      <c r="C927" s="11" t="s">
        <v>14</v>
      </c>
    </row>
    <row r="928" spans="3:6" ht="12.75">
      <c r="C928" s="80" t="s">
        <v>118</v>
      </c>
      <c r="F928" s="12">
        <f>'2019 Certified Estimate'!I798</f>
        <v>221836468</v>
      </c>
    </row>
    <row r="930" ht="12">
      <c r="C930" s="13" t="s">
        <v>69</v>
      </c>
    </row>
    <row r="931" spans="3:6" ht="15">
      <c r="C931" s="81" t="s">
        <v>126</v>
      </c>
      <c r="F931" s="15">
        <f>'2019 Certified Estimate'!I810</f>
        <v>184728495</v>
      </c>
    </row>
    <row r="933" spans="3:6" ht="12">
      <c r="C933" s="3" t="s">
        <v>120</v>
      </c>
      <c r="F933" s="8">
        <f>'2019 Certified Estimate'!I816</f>
        <v>8415</v>
      </c>
    </row>
    <row r="935" spans="3:6" ht="12">
      <c r="C935" s="3" t="s">
        <v>121</v>
      </c>
      <c r="F935" s="8">
        <f>'2019 Certified Estimate'!I815</f>
        <v>1968396</v>
      </c>
    </row>
    <row r="937" spans="3:6" ht="12">
      <c r="C937" s="9" t="s">
        <v>124</v>
      </c>
      <c r="F937" s="12">
        <f>'2019 Certified Estimate'!I796</f>
        <v>-620472</v>
      </c>
    </row>
    <row r="938" ht="12">
      <c r="F938" s="65"/>
    </row>
    <row r="939" spans="3:6" ht="12">
      <c r="C939" s="9"/>
      <c r="F939" s="65"/>
    </row>
    <row r="940" ht="12">
      <c r="F940" s="65"/>
    </row>
    <row r="941" spans="3:6" ht="12">
      <c r="C941" s="9"/>
      <c r="F941" s="65"/>
    </row>
    <row r="950" spans="3:6" ht="12">
      <c r="C950" s="79"/>
      <c r="D950" s="17"/>
      <c r="E950" s="6"/>
      <c r="F950" s="79"/>
    </row>
    <row r="951" spans="3:6" ht="12">
      <c r="C951" s="6" t="s">
        <v>20</v>
      </c>
      <c r="F951" s="6" t="s">
        <v>21</v>
      </c>
    </row>
    <row r="952" spans="3:6" ht="12">
      <c r="C952" s="6"/>
      <c r="F952" s="6"/>
    </row>
    <row r="953" spans="3:6" ht="12">
      <c r="C953" s="6"/>
      <c r="F953" s="6"/>
    </row>
    <row r="954" spans="2:6" ht="12.75">
      <c r="B954" s="83" t="s">
        <v>208</v>
      </c>
      <c r="C954" s="6"/>
      <c r="F954" s="6"/>
    </row>
    <row r="955" spans="2:6" ht="12">
      <c r="B955" s="78" t="s">
        <v>209</v>
      </c>
      <c r="C955" s="6"/>
      <c r="F955" s="6"/>
    </row>
    <row r="956" ht="12">
      <c r="A956" s="2" t="s">
        <v>201</v>
      </c>
    </row>
    <row r="957" spans="1:7" ht="12.75">
      <c r="A957" s="10" t="s">
        <v>186</v>
      </c>
      <c r="B957" s="19"/>
      <c r="C957" s="1"/>
      <c r="D957" s="1"/>
      <c r="E957" s="1"/>
      <c r="F957" s="1"/>
      <c r="G957" s="1"/>
    </row>
    <row r="958" spans="1:7" ht="12">
      <c r="A958" s="413"/>
      <c r="B958" s="413"/>
      <c r="C958" s="413"/>
      <c r="D958" s="413"/>
      <c r="E958" s="413"/>
      <c r="F958" s="413"/>
      <c r="G958" s="413"/>
    </row>
    <row r="959" spans="2:7" ht="12">
      <c r="B959" s="1"/>
      <c r="C959" s="1"/>
      <c r="D959" s="1"/>
      <c r="E959" s="1"/>
      <c r="F959" s="1"/>
      <c r="G959" s="1"/>
    </row>
    <row r="961" ht="12">
      <c r="B961" s="2" t="s">
        <v>194</v>
      </c>
    </row>
    <row r="962" ht="12">
      <c r="B962" s="2" t="s">
        <v>10</v>
      </c>
    </row>
    <row r="963" ht="12.75">
      <c r="B963" s="2" t="s">
        <v>103</v>
      </c>
    </row>
    <row r="965" ht="12">
      <c r="B965" s="2" t="s">
        <v>170</v>
      </c>
    </row>
    <row r="966" ht="12">
      <c r="B966" s="2" t="s">
        <v>101</v>
      </c>
    </row>
    <row r="967" ht="12">
      <c r="B967" s="2" t="s">
        <v>102</v>
      </c>
    </row>
    <row r="970" spans="3:6" ht="12.75">
      <c r="C970" s="80" t="s">
        <v>116</v>
      </c>
      <c r="F970" s="12">
        <f>'2019 Certified Estimate'!I833</f>
        <v>259944704</v>
      </c>
    </row>
    <row r="972" ht="12">
      <c r="C972" s="11" t="s">
        <v>14</v>
      </c>
    </row>
    <row r="973" spans="3:6" ht="12.75">
      <c r="C973" s="80" t="s">
        <v>118</v>
      </c>
      <c r="F973" s="12">
        <f>'2019 Certified Estimate'!I837</f>
        <v>221832194</v>
      </c>
    </row>
    <row r="975" ht="12">
      <c r="C975" s="13" t="s">
        <v>69</v>
      </c>
    </row>
    <row r="976" spans="3:6" ht="15">
      <c r="C976" s="81" t="s">
        <v>126</v>
      </c>
      <c r="F976" s="15">
        <f>'2019 Certified Estimate'!I849</f>
        <v>200457515</v>
      </c>
    </row>
    <row r="978" spans="3:6" ht="12">
      <c r="C978" s="3" t="s">
        <v>120</v>
      </c>
      <c r="F978" s="8">
        <f>'2019 Certified Estimate'!I855</f>
        <v>19117</v>
      </c>
    </row>
    <row r="980" spans="3:6" ht="12">
      <c r="C980" s="3" t="s">
        <v>121</v>
      </c>
      <c r="F980" s="8">
        <f>'2019 Certified Estimate'!I854</f>
        <v>3058160</v>
      </c>
    </row>
    <row r="982" spans="3:6" ht="12">
      <c r="C982" s="9" t="s">
        <v>124</v>
      </c>
      <c r="F982" s="12">
        <f>'2019 Certified Estimate'!I835</f>
        <v>-124550</v>
      </c>
    </row>
    <row r="983" ht="12">
      <c r="F983" s="65"/>
    </row>
    <row r="984" spans="3:6" ht="12">
      <c r="C984" s="9"/>
      <c r="F984" s="65"/>
    </row>
    <row r="985" ht="12">
      <c r="F985" s="65"/>
    </row>
    <row r="991" spans="3:6" ht="12">
      <c r="C991" s="79"/>
      <c r="D991" s="17"/>
      <c r="E991" s="6"/>
      <c r="F991" s="79"/>
    </row>
    <row r="992" spans="3:6" ht="12">
      <c r="C992" s="6" t="s">
        <v>20</v>
      </c>
      <c r="F992" s="6" t="s">
        <v>21</v>
      </c>
    </row>
    <row r="993" spans="3:6" ht="12">
      <c r="C993" s="6"/>
      <c r="F993" s="6"/>
    </row>
    <row r="994" spans="3:6" ht="12">
      <c r="C994" s="6"/>
      <c r="F994" s="6"/>
    </row>
    <row r="995" spans="2:6" ht="12.75">
      <c r="B995" s="83" t="s">
        <v>208</v>
      </c>
      <c r="C995" s="6"/>
      <c r="F995" s="6"/>
    </row>
    <row r="996" spans="2:6" ht="12">
      <c r="B996" s="78" t="s">
        <v>209</v>
      </c>
      <c r="C996" s="6"/>
      <c r="F996" s="6"/>
    </row>
    <row r="1001" spans="3:6" ht="12">
      <c r="C1001" s="79"/>
      <c r="D1001" s="79"/>
      <c r="F1001" s="79"/>
    </row>
    <row r="1002" spans="3:6" ht="12">
      <c r="C1002" s="9" t="s">
        <v>150</v>
      </c>
      <c r="F1002" s="9" t="s">
        <v>21</v>
      </c>
    </row>
  </sheetData>
  <sheetProtection/>
  <mergeCells count="22">
    <mergeCell ref="A2:H2"/>
    <mergeCell ref="A48:H48"/>
    <mergeCell ref="A94:H94"/>
    <mergeCell ref="A140:H140"/>
    <mergeCell ref="A280:G280"/>
    <mergeCell ref="A50:G50"/>
    <mergeCell ref="A958:G958"/>
    <mergeCell ref="A866:G866"/>
    <mergeCell ref="A233:G233"/>
    <mergeCell ref="A278:H278"/>
    <mergeCell ref="A819:G819"/>
    <mergeCell ref="A326:G326"/>
    <mergeCell ref="A773:G773"/>
    <mergeCell ref="A324:H324"/>
    <mergeCell ref="B551:G551"/>
    <mergeCell ref="A913:G913"/>
    <mergeCell ref="A142:G142"/>
    <mergeCell ref="A4:G4"/>
    <mergeCell ref="A231:H231"/>
    <mergeCell ref="A186:H186"/>
    <mergeCell ref="A96:G96"/>
    <mergeCell ref="A188:G188"/>
  </mergeCells>
  <printOptions horizontalCentered="1"/>
  <pageMargins left="0.36" right="0.27" top="1.36" bottom="1.78" header="0.5" footer="0.5"/>
  <pageSetup horizontalDpi="600" verticalDpi="600" orientation="portrait" scale="96" r:id="rId2"/>
  <headerFooter alignWithMargins="0">
    <oddHeader>&amp;C&amp;A</oddHeader>
  </headerFooter>
  <rowBreaks count="10" manualBreakCount="10">
    <brk id="138" max="255" man="1"/>
    <brk id="183" max="255" man="1"/>
    <brk id="456" max="255" man="1"/>
    <brk id="548" max="255" man="1"/>
    <brk id="592" max="255" man="1"/>
    <brk id="678" max="255" man="1"/>
    <brk id="723" max="7" man="1"/>
    <brk id="815" max="255" man="1"/>
    <brk id="862" max="255" man="1"/>
    <brk id="90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90"/>
  <sheetViews>
    <sheetView zoomScale="130" zoomScaleNormal="130" workbookViewId="0" topLeftCell="A481">
      <selection activeCell="A494" sqref="A494:K531"/>
    </sheetView>
  </sheetViews>
  <sheetFormatPr defaultColWidth="9.140625" defaultRowHeight="12.75"/>
  <cols>
    <col min="1" max="1" width="16.7109375" style="9" customWidth="1"/>
    <col min="2" max="2" width="12.57421875" style="9" customWidth="1"/>
    <col min="3" max="3" width="11.57421875" style="112" customWidth="1"/>
    <col min="4" max="4" width="7.140625" style="9" customWidth="1"/>
    <col min="5" max="5" width="15.00390625" style="9" customWidth="1"/>
    <col min="6" max="6" width="14.140625" style="112" customWidth="1"/>
    <col min="7" max="7" width="9.57421875" style="9" customWidth="1"/>
    <col min="8" max="8" width="13.00390625" style="9" customWidth="1"/>
    <col min="9" max="9" width="15.140625" style="112" customWidth="1"/>
    <col min="10" max="10" width="9.421875" style="9" customWidth="1"/>
    <col min="11" max="16384" width="9.140625" style="9" customWidth="1"/>
  </cols>
  <sheetData>
    <row r="1" spans="1:11" ht="10.5" thickBot="1">
      <c r="A1" s="267" t="s">
        <v>0</v>
      </c>
      <c r="B1" s="95" t="s">
        <v>32</v>
      </c>
      <c r="C1" s="372"/>
      <c r="D1" s="97"/>
      <c r="E1" s="95" t="s">
        <v>33</v>
      </c>
      <c r="F1" s="370"/>
      <c r="G1" s="97"/>
      <c r="H1" s="95" t="s">
        <v>34</v>
      </c>
      <c r="I1" s="383"/>
      <c r="J1" s="97"/>
      <c r="K1" s="99"/>
    </row>
    <row r="2" spans="1:11" ht="9.75">
      <c r="A2" s="9" t="s">
        <v>35</v>
      </c>
      <c r="B2" s="285" t="s">
        <v>200</v>
      </c>
      <c r="C2" s="308" t="s">
        <v>202</v>
      </c>
      <c r="D2" s="100" t="s">
        <v>67</v>
      </c>
      <c r="E2" s="285" t="str">
        <f>B2</f>
        <v>2018 Certified</v>
      </c>
      <c r="F2" s="308" t="s">
        <v>203</v>
      </c>
      <c r="G2" s="100" t="s">
        <v>67</v>
      </c>
      <c r="H2" s="101" t="str">
        <f>B2</f>
        <v>2018 Certified</v>
      </c>
      <c r="I2" s="384" t="s">
        <v>204</v>
      </c>
      <c r="J2" s="100" t="s">
        <v>67</v>
      </c>
      <c r="K2" s="207" t="s">
        <v>71</v>
      </c>
    </row>
    <row r="3" spans="1:11" ht="9.75">
      <c r="A3" s="288" t="s">
        <v>115</v>
      </c>
      <c r="B3" s="104"/>
      <c r="C3" s="108"/>
      <c r="D3" s="105"/>
      <c r="E3" s="107"/>
      <c r="F3" s="108"/>
      <c r="G3" s="105"/>
      <c r="H3" s="103"/>
      <c r="I3" s="108"/>
      <c r="J3" s="105"/>
      <c r="K3" s="106"/>
    </row>
    <row r="4" spans="1:11" ht="9.75">
      <c r="A4" s="106" t="s">
        <v>36</v>
      </c>
      <c r="B4" s="108">
        <v>0</v>
      </c>
      <c r="C4" s="229">
        <v>0</v>
      </c>
      <c r="D4" s="105"/>
      <c r="E4" s="112">
        <v>23415890</v>
      </c>
      <c r="F4" s="112">
        <v>25717210</v>
      </c>
      <c r="G4" s="110">
        <f aca="true" t="shared" si="0" ref="G4:G14">(F4-E4)/E4</f>
        <v>0.0982802703634156</v>
      </c>
      <c r="H4" s="114">
        <f>B4+E4</f>
        <v>23415890</v>
      </c>
      <c r="I4" s="112">
        <f>C4+F4</f>
        <v>25717210</v>
      </c>
      <c r="J4" s="110">
        <f aca="true" t="shared" si="1" ref="J4:J14">(I4-H4)/H4</f>
        <v>0.0982802703634156</v>
      </c>
      <c r="K4" s="111">
        <f>SUM(I4/I15)</f>
        <v>0.06584556801778577</v>
      </c>
    </row>
    <row r="5" spans="1:11" ht="9.75">
      <c r="A5" s="106" t="s">
        <v>37</v>
      </c>
      <c r="B5" s="108">
        <v>0</v>
      </c>
      <c r="C5" s="229">
        <v>0</v>
      </c>
      <c r="D5" s="105"/>
      <c r="E5" s="112">
        <v>0</v>
      </c>
      <c r="F5" s="112">
        <v>0</v>
      </c>
      <c r="G5" s="110">
        <v>0</v>
      </c>
      <c r="H5" s="114">
        <f aca="true" t="shared" si="2" ref="H5:H14">B5+E5</f>
        <v>0</v>
      </c>
      <c r="I5" s="112">
        <f aca="true" t="shared" si="3" ref="I5:I15">C5+F5</f>
        <v>0</v>
      </c>
      <c r="J5" s="110">
        <v>0</v>
      </c>
      <c r="K5" s="111">
        <f>SUM(I5/I15)</f>
        <v>0</v>
      </c>
    </row>
    <row r="6" spans="1:11" ht="9.75">
      <c r="A6" s="106" t="s">
        <v>38</v>
      </c>
      <c r="B6" s="108">
        <v>0</v>
      </c>
      <c r="C6" s="229">
        <v>0</v>
      </c>
      <c r="D6" s="105"/>
      <c r="E6" s="112">
        <v>917880</v>
      </c>
      <c r="F6" s="112">
        <v>832870</v>
      </c>
      <c r="G6" s="110">
        <f t="shared" si="0"/>
        <v>-0.0926155924521724</v>
      </c>
      <c r="H6" s="114">
        <f t="shared" si="2"/>
        <v>917880</v>
      </c>
      <c r="I6" s="112">
        <f t="shared" si="3"/>
        <v>832870</v>
      </c>
      <c r="J6" s="110">
        <f t="shared" si="1"/>
        <v>-0.0926155924521724</v>
      </c>
      <c r="K6" s="111">
        <f>SUM(I6/I15)</f>
        <v>0.002132455201593533</v>
      </c>
    </row>
    <row r="7" spans="1:11" ht="9.75">
      <c r="A7" s="106" t="s">
        <v>39</v>
      </c>
      <c r="B7" s="108">
        <v>0</v>
      </c>
      <c r="C7" s="229">
        <v>0</v>
      </c>
      <c r="D7" s="105"/>
      <c r="E7" s="112">
        <v>178078290</v>
      </c>
      <c r="F7" s="112">
        <v>182892220</v>
      </c>
      <c r="G7" s="110">
        <f t="shared" si="0"/>
        <v>0.02703266074713543</v>
      </c>
      <c r="H7" s="114">
        <f t="shared" si="2"/>
        <v>178078290</v>
      </c>
      <c r="I7" s="112">
        <f t="shared" si="3"/>
        <v>182892220</v>
      </c>
      <c r="J7" s="110">
        <f t="shared" si="1"/>
        <v>0.02703266074713543</v>
      </c>
      <c r="K7" s="111">
        <f>SUM(I7/I15)</f>
        <v>0.4682717181192609</v>
      </c>
    </row>
    <row r="8" spans="1:11" ht="9.75">
      <c r="A8" s="106" t="s">
        <v>40</v>
      </c>
      <c r="B8" s="108">
        <v>0</v>
      </c>
      <c r="C8" s="229">
        <v>0</v>
      </c>
      <c r="D8" s="105"/>
      <c r="E8" s="112">
        <v>2061600</v>
      </c>
      <c r="F8" s="112">
        <v>2265790</v>
      </c>
      <c r="G8" s="110">
        <f t="shared" si="0"/>
        <v>0.09904443150950717</v>
      </c>
      <c r="H8" s="114">
        <f t="shared" si="2"/>
        <v>2061600</v>
      </c>
      <c r="I8" s="112">
        <f t="shared" si="3"/>
        <v>2265790</v>
      </c>
      <c r="J8" s="110">
        <f t="shared" si="1"/>
        <v>0.09904443150950717</v>
      </c>
      <c r="K8" s="111">
        <f>SUM(I8/I15)</f>
        <v>0.005801260306192577</v>
      </c>
    </row>
    <row r="9" spans="1:11" ht="9.75">
      <c r="A9" s="106" t="s">
        <v>41</v>
      </c>
      <c r="B9" s="114">
        <v>49050610</v>
      </c>
      <c r="C9" s="307">
        <v>110614480</v>
      </c>
      <c r="D9" s="110">
        <f>(C9-B9)/B9</f>
        <v>1.2551091617413117</v>
      </c>
      <c r="E9" s="112">
        <v>0</v>
      </c>
      <c r="F9" s="112">
        <v>0</v>
      </c>
      <c r="G9" s="110">
        <v>0</v>
      </c>
      <c r="H9" s="114">
        <f t="shared" si="2"/>
        <v>49050610</v>
      </c>
      <c r="I9" s="112">
        <f t="shared" si="3"/>
        <v>110614480</v>
      </c>
      <c r="J9" s="110">
        <f t="shared" si="1"/>
        <v>1.2551091617413117</v>
      </c>
      <c r="K9" s="111">
        <f>SUM(I9/I15)</f>
        <v>0.2832139748671027</v>
      </c>
    </row>
    <row r="10" spans="1:11" ht="9.75">
      <c r="A10" s="106" t="s">
        <v>42</v>
      </c>
      <c r="B10" s="114">
        <v>27037490</v>
      </c>
      <c r="C10" s="307">
        <v>41840030</v>
      </c>
      <c r="D10" s="110">
        <f>(C10-B10)/B10</f>
        <v>0.5474820332804561</v>
      </c>
      <c r="E10" s="112">
        <v>28480</v>
      </c>
      <c r="F10" s="112">
        <v>34680</v>
      </c>
      <c r="G10" s="110">
        <f t="shared" si="0"/>
        <v>0.21769662921348315</v>
      </c>
      <c r="H10" s="114">
        <f t="shared" si="2"/>
        <v>27065970</v>
      </c>
      <c r="I10" s="112">
        <f t="shared" si="3"/>
        <v>41874710</v>
      </c>
      <c r="J10" s="110">
        <f t="shared" si="1"/>
        <v>0.5471350186230163</v>
      </c>
      <c r="K10" s="111">
        <f>SUM(I10/I15)</f>
        <v>0.10721474318287456</v>
      </c>
    </row>
    <row r="11" spans="1:11" ht="9.75">
      <c r="A11" s="106" t="s">
        <v>43</v>
      </c>
      <c r="B11" s="114">
        <v>8387280</v>
      </c>
      <c r="C11" s="307">
        <v>15074090</v>
      </c>
      <c r="D11" s="110">
        <f>(C11-B11)/B11</f>
        <v>0.7972560830209555</v>
      </c>
      <c r="E11" s="112">
        <v>3569090</v>
      </c>
      <c r="F11" s="112">
        <v>2775560</v>
      </c>
      <c r="G11" s="110">
        <f t="shared" si="0"/>
        <v>-0.222333984292915</v>
      </c>
      <c r="H11" s="114">
        <f t="shared" si="2"/>
        <v>11956370</v>
      </c>
      <c r="I11" s="112">
        <f t="shared" si="3"/>
        <v>17849650</v>
      </c>
      <c r="J11" s="110">
        <f t="shared" si="1"/>
        <v>0.4928987644243194</v>
      </c>
      <c r="K11" s="111">
        <f>SUM(I11/I15)</f>
        <v>0.04570170493489261</v>
      </c>
    </row>
    <row r="12" spans="1:11" ht="9.75">
      <c r="A12" s="106" t="s">
        <v>44</v>
      </c>
      <c r="B12" s="108">
        <v>0</v>
      </c>
      <c r="C12" s="229">
        <v>0</v>
      </c>
      <c r="D12" s="110"/>
      <c r="E12" s="112">
        <v>3355230</v>
      </c>
      <c r="F12" s="112">
        <v>3825350</v>
      </c>
      <c r="G12" s="110">
        <f t="shared" si="0"/>
        <v>0.1401155807500529</v>
      </c>
      <c r="H12" s="114">
        <f t="shared" si="2"/>
        <v>3355230</v>
      </c>
      <c r="I12" s="112">
        <f t="shared" si="3"/>
        <v>3825350</v>
      </c>
      <c r="J12" s="110">
        <f t="shared" si="1"/>
        <v>0.1401155807500529</v>
      </c>
      <c r="K12" s="111">
        <f>SUM(I12/I15)</f>
        <v>0.009794310643216616</v>
      </c>
    </row>
    <row r="13" spans="1:11" ht="9.75">
      <c r="A13" s="106" t="s">
        <v>45</v>
      </c>
      <c r="B13" s="108">
        <v>0</v>
      </c>
      <c r="C13" s="229">
        <v>0</v>
      </c>
      <c r="D13" s="110"/>
      <c r="E13" s="112">
        <v>84120</v>
      </c>
      <c r="F13" s="112">
        <v>84120</v>
      </c>
      <c r="G13" s="110">
        <f t="shared" si="0"/>
        <v>0</v>
      </c>
      <c r="H13" s="114">
        <f t="shared" si="2"/>
        <v>84120</v>
      </c>
      <c r="I13" s="112">
        <f t="shared" si="3"/>
        <v>84120</v>
      </c>
      <c r="J13" s="110">
        <f t="shared" si="1"/>
        <v>0</v>
      </c>
      <c r="K13" s="111">
        <f>SUM(I13/I15)</f>
        <v>0.00021537830820902182</v>
      </c>
    </row>
    <row r="14" spans="1:11" ht="10.5" thickBot="1">
      <c r="A14" s="284" t="s">
        <v>46</v>
      </c>
      <c r="B14" s="108">
        <v>0</v>
      </c>
      <c r="C14" s="229">
        <v>0</v>
      </c>
      <c r="D14" s="110"/>
      <c r="E14" s="112">
        <v>4297630</v>
      </c>
      <c r="F14" s="112">
        <v>4612180</v>
      </c>
      <c r="G14" s="110">
        <f t="shared" si="0"/>
        <v>0.0731915032238699</v>
      </c>
      <c r="H14" s="114">
        <f t="shared" si="2"/>
        <v>4297630</v>
      </c>
      <c r="I14" s="108">
        <f t="shared" si="3"/>
        <v>4612180</v>
      </c>
      <c r="J14" s="110">
        <f t="shared" si="1"/>
        <v>0.0731915032238699</v>
      </c>
      <c r="K14" s="111">
        <f>SUM(I14/I15)</f>
        <v>0.011808886418871687</v>
      </c>
    </row>
    <row r="15" spans="1:11" ht="10.5" thickBot="1">
      <c r="A15" s="250" t="s">
        <v>47</v>
      </c>
      <c r="B15" s="259">
        <f>SUM(B4:B14)</f>
        <v>84475380</v>
      </c>
      <c r="C15" s="260">
        <f>SUM(C4:C14)</f>
        <v>167528600</v>
      </c>
      <c r="D15" s="256">
        <f>(C15-B15)/B15</f>
        <v>0.9831647990219162</v>
      </c>
      <c r="E15" s="260">
        <f>SUM(E4:E14)</f>
        <v>215808210</v>
      </c>
      <c r="F15" s="260">
        <f>SUM(F4:F14)</f>
        <v>223039980</v>
      </c>
      <c r="G15" s="256">
        <f>(F15-E15)/E15</f>
        <v>0.03351017090591688</v>
      </c>
      <c r="H15" s="259">
        <f>SUM(B15+E15)</f>
        <v>300283590</v>
      </c>
      <c r="I15" s="400">
        <f t="shared" si="3"/>
        <v>390568580</v>
      </c>
      <c r="J15" s="256">
        <f>(I15-H15)/H15</f>
        <v>0.3006657473357102</v>
      </c>
      <c r="K15" s="261">
        <v>1</v>
      </c>
    </row>
    <row r="16" spans="1:10" ht="9.75">
      <c r="A16" s="113" t="s">
        <v>73</v>
      </c>
      <c r="B16" s="114"/>
      <c r="D16" s="115"/>
      <c r="E16" s="114"/>
      <c r="H16" s="116">
        <v>0</v>
      </c>
      <c r="I16" s="118">
        <v>0</v>
      </c>
      <c r="J16" s="117">
        <v>0</v>
      </c>
    </row>
    <row r="17" spans="1:10" ht="9.75">
      <c r="A17" s="113" t="s">
        <v>174</v>
      </c>
      <c r="B17" s="114"/>
      <c r="D17" s="115"/>
      <c r="E17" s="114"/>
      <c r="H17" s="385">
        <v>-412230</v>
      </c>
      <c r="I17" s="112">
        <v>-241910</v>
      </c>
      <c r="J17" s="117">
        <f>(I17-H17)/H17</f>
        <v>-0.41316740654489</v>
      </c>
    </row>
    <row r="18" spans="1:10" ht="10.5" thickBot="1">
      <c r="A18" s="113" t="s">
        <v>49</v>
      </c>
      <c r="B18" s="114"/>
      <c r="D18" s="115"/>
      <c r="E18" s="114"/>
      <c r="H18" s="385">
        <v>-48945000</v>
      </c>
      <c r="I18" s="112">
        <v>-49469780</v>
      </c>
      <c r="J18" s="117">
        <f>(I18-H18)/H18</f>
        <v>0.010721830626213097</v>
      </c>
    </row>
    <row r="19" spans="1:10" ht="10.5" thickBot="1">
      <c r="A19" s="250" t="s">
        <v>50</v>
      </c>
      <c r="B19" s="251"/>
      <c r="C19" s="260"/>
      <c r="D19" s="252"/>
      <c r="E19" s="251"/>
      <c r="F19" s="260"/>
      <c r="G19" s="253"/>
      <c r="H19" s="254">
        <f>SUM(H15:H18)</f>
        <v>250926360</v>
      </c>
      <c r="I19" s="255">
        <f>I15+I17+I18</f>
        <v>340856890</v>
      </c>
      <c r="J19" s="256">
        <f aca="true" t="shared" si="4" ref="J19:J31">(I19-H19)/H19</f>
        <v>0.35839411212118166</v>
      </c>
    </row>
    <row r="20" spans="1:10" ht="9.75">
      <c r="A20" s="113" t="s">
        <v>127</v>
      </c>
      <c r="B20" s="114"/>
      <c r="D20" s="115"/>
      <c r="E20" s="114"/>
      <c r="H20" s="130">
        <v>-328240</v>
      </c>
      <c r="I20" s="385">
        <v>-340900</v>
      </c>
      <c r="J20" s="117">
        <f t="shared" si="4"/>
        <v>0.03856933950767731</v>
      </c>
    </row>
    <row r="21" spans="1:10" ht="9.75">
      <c r="A21" s="113" t="s">
        <v>78</v>
      </c>
      <c r="B21" s="114"/>
      <c r="D21" s="115"/>
      <c r="E21" s="114"/>
      <c r="H21" s="130">
        <v>0</v>
      </c>
      <c r="I21" s="402">
        <v>0</v>
      </c>
      <c r="J21" s="117">
        <v>0</v>
      </c>
    </row>
    <row r="22" spans="1:10" ht="9.75">
      <c r="A22" s="113" t="s">
        <v>128</v>
      </c>
      <c r="B22" s="114"/>
      <c r="D22" s="115"/>
      <c r="E22" s="114"/>
      <c r="H22" s="130">
        <v>0</v>
      </c>
      <c r="I22" s="402">
        <v>0</v>
      </c>
      <c r="J22" s="117">
        <v>0</v>
      </c>
    </row>
    <row r="23" spans="1:10" ht="9.75">
      <c r="A23" s="113" t="s">
        <v>157</v>
      </c>
      <c r="B23" s="114"/>
      <c r="D23" s="115"/>
      <c r="E23" s="114"/>
      <c r="H23" s="130">
        <v>-4419070</v>
      </c>
      <c r="I23" s="385">
        <v>-4733360</v>
      </c>
      <c r="J23" s="117">
        <f t="shared" si="4"/>
        <v>0.07112129927790237</v>
      </c>
    </row>
    <row r="24" spans="1:10" ht="9.75">
      <c r="A24" s="113" t="s">
        <v>53</v>
      </c>
      <c r="B24" s="114"/>
      <c r="D24" s="115"/>
      <c r="E24" s="114"/>
      <c r="H24" s="130">
        <v>-17107008</v>
      </c>
      <c r="I24" s="385">
        <v>-17398816</v>
      </c>
      <c r="J24" s="117">
        <f t="shared" si="4"/>
        <v>0.017057804614342847</v>
      </c>
    </row>
    <row r="25" spans="1:10" ht="9.75">
      <c r="A25" s="113" t="s">
        <v>54</v>
      </c>
      <c r="B25" s="114"/>
      <c r="D25" s="115"/>
      <c r="E25" s="114"/>
      <c r="H25" s="130">
        <v>-2101524</v>
      </c>
      <c r="I25" s="385">
        <v>-2208075</v>
      </c>
      <c r="J25" s="117">
        <f t="shared" si="4"/>
        <v>0.05070177642510863</v>
      </c>
    </row>
    <row r="26" spans="1:10" ht="9.75">
      <c r="A26" s="113" t="s">
        <v>55</v>
      </c>
      <c r="B26" s="114"/>
      <c r="D26" s="115"/>
      <c r="E26" s="114"/>
      <c r="H26" s="130">
        <v>-236912</v>
      </c>
      <c r="I26" s="385">
        <v>-225576</v>
      </c>
      <c r="J26" s="117">
        <f t="shared" si="4"/>
        <v>-0.04784899034240562</v>
      </c>
    </row>
    <row r="27" spans="1:10" ht="9.75">
      <c r="A27" s="113" t="s">
        <v>56</v>
      </c>
      <c r="B27" s="114"/>
      <c r="D27" s="115"/>
      <c r="E27" s="114"/>
      <c r="H27" s="130">
        <v>-1660844</v>
      </c>
      <c r="I27" s="385">
        <v>-1893111</v>
      </c>
      <c r="J27" s="117">
        <f t="shared" si="4"/>
        <v>0.13984877568272516</v>
      </c>
    </row>
    <row r="28" spans="1:10" ht="9.75">
      <c r="A28" s="113" t="s">
        <v>57</v>
      </c>
      <c r="B28" s="114"/>
      <c r="D28" s="115"/>
      <c r="E28" s="114"/>
      <c r="H28" s="130">
        <v>-18694036</v>
      </c>
      <c r="I28" s="385">
        <v>-19519030</v>
      </c>
      <c r="J28" s="117">
        <f t="shared" si="4"/>
        <v>0.04413140105218584</v>
      </c>
    </row>
    <row r="29" spans="1:10" ht="9.75">
      <c r="A29" s="113" t="s">
        <v>58</v>
      </c>
      <c r="B29" s="114"/>
      <c r="D29" s="115"/>
      <c r="E29" s="114"/>
      <c r="H29" s="130">
        <v>-591712</v>
      </c>
      <c r="I29" s="385">
        <v>-617015</v>
      </c>
      <c r="J29" s="117">
        <f t="shared" si="4"/>
        <v>0.04276235736304148</v>
      </c>
    </row>
    <row r="30" spans="1:10" ht="10.5" thickBot="1">
      <c r="A30" s="113" t="s">
        <v>59</v>
      </c>
      <c r="B30" s="114"/>
      <c r="D30" s="115"/>
      <c r="E30" s="114"/>
      <c r="H30" s="403">
        <v>0</v>
      </c>
      <c r="I30" s="402">
        <v>0</v>
      </c>
      <c r="J30" s="117" t="e">
        <f t="shared" si="4"/>
        <v>#DIV/0!</v>
      </c>
    </row>
    <row r="31" spans="1:10" ht="10.5" thickBot="1">
      <c r="A31" s="250" t="s">
        <v>60</v>
      </c>
      <c r="B31" s="253"/>
      <c r="C31" s="260"/>
      <c r="D31" s="253"/>
      <c r="E31" s="253"/>
      <c r="F31" s="260"/>
      <c r="G31" s="253"/>
      <c r="H31" s="254">
        <f>SUM(H19:H30)</f>
        <v>205787014</v>
      </c>
      <c r="I31" s="257">
        <f>SUM(I19:I30)</f>
        <v>293921007</v>
      </c>
      <c r="J31" s="256">
        <f t="shared" si="4"/>
        <v>0.4282777192150716</v>
      </c>
    </row>
    <row r="32" spans="1:10" ht="9.75">
      <c r="A32" s="121" t="s">
        <v>61</v>
      </c>
      <c r="B32" s="104"/>
      <c r="C32" s="108"/>
      <c r="D32" s="104"/>
      <c r="E32" s="108">
        <v>13901645</v>
      </c>
      <c r="F32" s="112">
        <v>14878899</v>
      </c>
      <c r="G32" s="123"/>
      <c r="H32" s="124"/>
      <c r="I32" s="125"/>
      <c r="J32" s="126"/>
    </row>
    <row r="33" spans="1:10" ht="9.75">
      <c r="A33" s="121" t="s">
        <v>19</v>
      </c>
      <c r="B33" s="104"/>
      <c r="C33" s="108"/>
      <c r="D33" s="104"/>
      <c r="E33" s="127">
        <v>136385.95</v>
      </c>
      <c r="F33" s="236">
        <v>147428.86</v>
      </c>
      <c r="G33" s="123"/>
      <c r="H33" s="124"/>
      <c r="I33" s="125"/>
      <c r="J33" s="126"/>
    </row>
    <row r="34" spans="1:11" ht="9.75">
      <c r="A34" s="121" t="s">
        <v>205</v>
      </c>
      <c r="B34" s="104"/>
      <c r="C34" s="108"/>
      <c r="D34" s="104"/>
      <c r="E34" s="138">
        <v>1.35</v>
      </c>
      <c r="F34" s="138">
        <v>0.883</v>
      </c>
      <c r="G34" s="123"/>
      <c r="H34" s="125"/>
      <c r="I34" s="125"/>
      <c r="J34" s="126"/>
      <c r="K34" s="130"/>
    </row>
    <row r="35" spans="1:10" ht="9.75">
      <c r="A35" s="121" t="s">
        <v>62</v>
      </c>
      <c r="B35" s="104"/>
      <c r="C35" s="108"/>
      <c r="D35" s="104"/>
      <c r="E35" s="104"/>
      <c r="F35" s="108"/>
      <c r="G35" s="104"/>
      <c r="H35" s="410">
        <v>2604991</v>
      </c>
      <c r="I35" s="318">
        <f>(I31-F32)*F34/100+F33</f>
        <v>2611370.6736399997</v>
      </c>
      <c r="J35" s="123">
        <f>(I35-H35)/H35</f>
        <v>0.002449019455345413</v>
      </c>
    </row>
    <row r="36" spans="1:10" ht="9.75">
      <c r="A36" s="121" t="s">
        <v>18</v>
      </c>
      <c r="B36" s="104"/>
      <c r="C36" s="108"/>
      <c r="D36" s="104"/>
      <c r="E36" s="104"/>
      <c r="F36" s="108"/>
      <c r="G36" s="104"/>
      <c r="H36" s="131">
        <v>2909897</v>
      </c>
      <c r="I36" s="112">
        <v>56978275</v>
      </c>
      <c r="J36" s="123">
        <f>(I36-H36)/H36</f>
        <v>18.580856298350078</v>
      </c>
    </row>
    <row r="37" spans="1:10" ht="9.75">
      <c r="A37" s="121" t="s">
        <v>17</v>
      </c>
      <c r="B37" s="104"/>
      <c r="C37" s="108"/>
      <c r="D37" s="104"/>
      <c r="E37" s="104"/>
      <c r="F37" s="108"/>
      <c r="G37" s="104"/>
      <c r="H37" s="131">
        <v>23811</v>
      </c>
      <c r="I37" s="112">
        <v>24417</v>
      </c>
      <c r="J37" s="123">
        <f>(I37-H37)/H37</f>
        <v>0.025450422073831424</v>
      </c>
    </row>
    <row r="38" spans="1:10" s="136" customFormat="1" ht="10.5" thickBot="1">
      <c r="A38" s="132"/>
      <c r="B38" s="133"/>
      <c r="C38" s="371"/>
      <c r="D38" s="133"/>
      <c r="E38" s="133"/>
      <c r="F38" s="371"/>
      <c r="G38" s="133"/>
      <c r="H38" s="134"/>
      <c r="I38" s="134"/>
      <c r="J38" s="135"/>
    </row>
    <row r="39" spans="1:11" ht="10.5" thickBot="1">
      <c r="A39" s="369" t="s">
        <v>1</v>
      </c>
      <c r="B39" s="95" t="s">
        <v>32</v>
      </c>
      <c r="C39" s="370"/>
      <c r="D39" s="97"/>
      <c r="E39" s="95" t="s">
        <v>33</v>
      </c>
      <c r="F39" s="372"/>
      <c r="G39" s="97"/>
      <c r="H39" s="95" t="s">
        <v>34</v>
      </c>
      <c r="I39" s="372"/>
      <c r="J39" s="97"/>
      <c r="K39" s="99"/>
    </row>
    <row r="40" spans="1:11" ht="9.75">
      <c r="A40" s="9" t="s">
        <v>35</v>
      </c>
      <c r="B40" s="285" t="s">
        <v>200</v>
      </c>
      <c r="C40" s="308" t="s">
        <v>202</v>
      </c>
      <c r="D40" s="100" t="s">
        <v>67</v>
      </c>
      <c r="E40" s="285" t="str">
        <f>B40</f>
        <v>2018 Certified</v>
      </c>
      <c r="F40" s="308" t="s">
        <v>202</v>
      </c>
      <c r="G40" s="100" t="s">
        <v>67</v>
      </c>
      <c r="H40" s="101" t="str">
        <f>B40</f>
        <v>2018 Certified</v>
      </c>
      <c r="I40" s="384" t="s">
        <v>204</v>
      </c>
      <c r="J40" s="100" t="s">
        <v>67</v>
      </c>
      <c r="K40" s="207" t="s">
        <v>71</v>
      </c>
    </row>
    <row r="41" spans="2:11" ht="9.75">
      <c r="B41" s="103"/>
      <c r="C41" s="108"/>
      <c r="D41" s="105"/>
      <c r="E41" s="103"/>
      <c r="F41" s="108"/>
      <c r="G41" s="105"/>
      <c r="H41" s="103"/>
      <c r="I41" s="108"/>
      <c r="J41" s="105"/>
      <c r="K41" s="106"/>
    </row>
    <row r="42" spans="1:11" ht="9.75">
      <c r="A42" s="9" t="s">
        <v>36</v>
      </c>
      <c r="B42" s="107">
        <v>0</v>
      </c>
      <c r="C42" s="108">
        <v>0</v>
      </c>
      <c r="D42" s="105"/>
      <c r="E42" s="109">
        <v>771532480</v>
      </c>
      <c r="F42" s="112">
        <v>797758290</v>
      </c>
      <c r="G42" s="110">
        <f aca="true" t="shared" si="5" ref="G42:G52">(F42-E42)/E42</f>
        <v>0.033991841795176274</v>
      </c>
      <c r="H42" s="109">
        <f>C42+E42</f>
        <v>771532480</v>
      </c>
      <c r="I42" s="112">
        <f>C42+F42</f>
        <v>797758290</v>
      </c>
      <c r="J42" s="110">
        <f aca="true" t="shared" si="6" ref="J42:J52">(I42-H42)/H42</f>
        <v>0.033991841795176274</v>
      </c>
      <c r="K42" s="111">
        <f>H42/I53</f>
        <v>0.23501383519834879</v>
      </c>
    </row>
    <row r="43" spans="1:11" ht="9.75">
      <c r="A43" s="9" t="s">
        <v>37</v>
      </c>
      <c r="B43" s="107">
        <v>0</v>
      </c>
      <c r="C43" s="108">
        <v>0</v>
      </c>
      <c r="D43" s="105"/>
      <c r="E43" s="109">
        <v>34725560</v>
      </c>
      <c r="F43" s="112">
        <v>36540090</v>
      </c>
      <c r="G43" s="110">
        <f t="shared" si="5"/>
        <v>0.052253440981225356</v>
      </c>
      <c r="H43" s="109">
        <f>C43+E43</f>
        <v>34725560</v>
      </c>
      <c r="I43" s="112">
        <f aca="true" t="shared" si="7" ref="I43:I53">C43+F43</f>
        <v>36540090</v>
      </c>
      <c r="J43" s="110">
        <f t="shared" si="6"/>
        <v>0.052253440981225356</v>
      </c>
      <c r="K43" s="111">
        <f>H43/I53</f>
        <v>0.010577632499684747</v>
      </c>
    </row>
    <row r="44" spans="1:11" ht="9.75">
      <c r="A44" s="9" t="s">
        <v>38</v>
      </c>
      <c r="B44" s="107">
        <v>0</v>
      </c>
      <c r="C44" s="108">
        <v>0</v>
      </c>
      <c r="D44" s="105"/>
      <c r="E44" s="109">
        <v>11957070</v>
      </c>
      <c r="F44" s="112">
        <v>10569790</v>
      </c>
      <c r="G44" s="110">
        <f t="shared" si="5"/>
        <v>-0.1160217344215598</v>
      </c>
      <c r="H44" s="109">
        <f>C44+E44</f>
        <v>11957070</v>
      </c>
      <c r="I44" s="112">
        <f t="shared" si="7"/>
        <v>10569790</v>
      </c>
      <c r="J44" s="110">
        <f t="shared" si="6"/>
        <v>-0.1160217344215598</v>
      </c>
      <c r="K44" s="111">
        <f>H44/I53</f>
        <v>0.003642201658749506</v>
      </c>
    </row>
    <row r="45" spans="1:11" ht="9.75">
      <c r="A45" s="9" t="s">
        <v>39</v>
      </c>
      <c r="B45" s="107">
        <v>0</v>
      </c>
      <c r="C45" s="108">
        <v>0</v>
      </c>
      <c r="D45" s="105"/>
      <c r="E45" s="109">
        <v>585053520</v>
      </c>
      <c r="F45" s="112">
        <v>602276680</v>
      </c>
      <c r="G45" s="110">
        <f t="shared" si="5"/>
        <v>0.02943860589027821</v>
      </c>
      <c r="H45" s="109">
        <f>C45+E45</f>
        <v>585053520</v>
      </c>
      <c r="I45" s="112">
        <f t="shared" si="7"/>
        <v>602276680</v>
      </c>
      <c r="J45" s="110">
        <f t="shared" si="6"/>
        <v>0.02943860589027821</v>
      </c>
      <c r="K45" s="111">
        <f>H45/I53</f>
        <v>0.17821112538449949</v>
      </c>
    </row>
    <row r="46" spans="1:11" ht="9.75">
      <c r="A46" s="9" t="s">
        <v>40</v>
      </c>
      <c r="B46" s="107">
        <v>761314440</v>
      </c>
      <c r="C46" s="108">
        <v>733526140</v>
      </c>
      <c r="D46" s="110">
        <f>(C46-B46)/B46</f>
        <v>-0.03650042418740934</v>
      </c>
      <c r="E46" s="109">
        <v>107907630</v>
      </c>
      <c r="F46" s="112">
        <v>113750970</v>
      </c>
      <c r="G46" s="110">
        <f t="shared" si="5"/>
        <v>0.05415131441585734</v>
      </c>
      <c r="H46" s="109">
        <f>B46+E46</f>
        <v>869222070</v>
      </c>
      <c r="I46" s="112">
        <f t="shared" si="7"/>
        <v>847277110</v>
      </c>
      <c r="J46" s="110">
        <f t="shared" si="6"/>
        <v>-0.025246666827039955</v>
      </c>
      <c r="K46" s="111">
        <f>H46/I53</f>
        <v>0.2647707226917363</v>
      </c>
    </row>
    <row r="47" spans="1:11" ht="9.75">
      <c r="A47" s="9" t="s">
        <v>41</v>
      </c>
      <c r="B47" s="107">
        <v>35188310</v>
      </c>
      <c r="C47" s="108">
        <v>46846770</v>
      </c>
      <c r="D47" s="110">
        <f>(C47-B47)/B47</f>
        <v>0.3313162808898751</v>
      </c>
      <c r="E47" s="109">
        <v>0</v>
      </c>
      <c r="F47" s="112">
        <v>0</v>
      </c>
      <c r="G47" s="110">
        <v>0</v>
      </c>
      <c r="H47" s="109">
        <f>B47+E47</f>
        <v>35188310</v>
      </c>
      <c r="I47" s="112">
        <f t="shared" si="7"/>
        <v>46846770</v>
      </c>
      <c r="J47" s="110">
        <f t="shared" si="6"/>
        <v>0.3313162808898751</v>
      </c>
      <c r="K47" s="111">
        <f>H47/I53</f>
        <v>0.01071858917365139</v>
      </c>
    </row>
    <row r="48" spans="1:11" ht="9.75">
      <c r="A48" s="9" t="s">
        <v>42</v>
      </c>
      <c r="B48" s="107">
        <v>75756920</v>
      </c>
      <c r="C48" s="108">
        <v>83227220</v>
      </c>
      <c r="D48" s="110">
        <f>(C48-B48)/B48</f>
        <v>0.09860881355789015</v>
      </c>
      <c r="E48" s="109">
        <v>506730</v>
      </c>
      <c r="F48" s="112">
        <v>539620</v>
      </c>
      <c r="G48" s="110">
        <f t="shared" si="5"/>
        <v>0.06490636038916188</v>
      </c>
      <c r="H48" s="109">
        <f>B48+E48</f>
        <v>76263650</v>
      </c>
      <c r="I48" s="112">
        <f t="shared" si="7"/>
        <v>83766840</v>
      </c>
      <c r="J48" s="110">
        <f t="shared" si="6"/>
        <v>0.09838487929701765</v>
      </c>
      <c r="K48" s="111">
        <f>H48/I53</f>
        <v>0.023230406155713045</v>
      </c>
    </row>
    <row r="49" spans="1:11" ht="9.75">
      <c r="A49" s="9" t="s">
        <v>43</v>
      </c>
      <c r="B49" s="107">
        <v>553326730</v>
      </c>
      <c r="C49" s="108">
        <v>652327200</v>
      </c>
      <c r="D49" s="110">
        <f>(C49-B49)/B49</f>
        <v>0.17891864721590442</v>
      </c>
      <c r="E49" s="109">
        <v>110687050</v>
      </c>
      <c r="F49" s="112">
        <v>109253240</v>
      </c>
      <c r="G49" s="110">
        <f t="shared" si="5"/>
        <v>-0.012953728552707837</v>
      </c>
      <c r="H49" s="109">
        <f>B49+E49</f>
        <v>664013780</v>
      </c>
      <c r="I49" s="112">
        <f t="shared" si="7"/>
        <v>761580440</v>
      </c>
      <c r="J49" s="110">
        <f t="shared" si="6"/>
        <v>0.1469346916264298</v>
      </c>
      <c r="K49" s="111">
        <f>H49/I53</f>
        <v>0.2022629365679493</v>
      </c>
    </row>
    <row r="50" spans="1:11" ht="9.75">
      <c r="A50" s="9" t="s">
        <v>44</v>
      </c>
      <c r="B50" s="107">
        <v>0</v>
      </c>
      <c r="C50" s="108">
        <v>0</v>
      </c>
      <c r="D50" s="110"/>
      <c r="E50" s="109">
        <v>18062000</v>
      </c>
      <c r="F50" s="112">
        <v>18183280</v>
      </c>
      <c r="G50" s="110">
        <f t="shared" si="5"/>
        <v>0.006714649540471709</v>
      </c>
      <c r="H50" s="109">
        <f>C50+E50</f>
        <v>18062000</v>
      </c>
      <c r="I50" s="112">
        <f t="shared" si="7"/>
        <v>18183280</v>
      </c>
      <c r="J50" s="110">
        <f t="shared" si="6"/>
        <v>0.006714649540471709</v>
      </c>
      <c r="K50" s="111">
        <f>H50/I53</f>
        <v>0.005501803231087012</v>
      </c>
    </row>
    <row r="51" spans="1:11" ht="9.75">
      <c r="A51" s="9" t="s">
        <v>45</v>
      </c>
      <c r="B51" s="107">
        <v>0</v>
      </c>
      <c r="C51" s="108">
        <v>0</v>
      </c>
      <c r="D51" s="110"/>
      <c r="E51" s="109">
        <v>10917840</v>
      </c>
      <c r="F51" s="112">
        <v>9071840</v>
      </c>
      <c r="G51" s="110">
        <f t="shared" si="5"/>
        <v>-0.16908106365361647</v>
      </c>
      <c r="H51" s="109">
        <f>C51+E51</f>
        <v>10917840</v>
      </c>
      <c r="I51" s="112">
        <f t="shared" si="7"/>
        <v>9071840</v>
      </c>
      <c r="J51" s="110">
        <f t="shared" si="6"/>
        <v>-0.16908106365361647</v>
      </c>
      <c r="K51" s="111">
        <f>H51/I53</f>
        <v>0.0033256454096163785</v>
      </c>
    </row>
    <row r="52" spans="1:11" ht="10.5" thickBot="1">
      <c r="A52" s="9" t="s">
        <v>46</v>
      </c>
      <c r="B52" s="107">
        <v>0</v>
      </c>
      <c r="C52" s="108">
        <v>0</v>
      </c>
      <c r="D52" s="110"/>
      <c r="E52" s="109">
        <v>67824920</v>
      </c>
      <c r="F52" s="112">
        <v>69052530</v>
      </c>
      <c r="G52" s="110">
        <f t="shared" si="5"/>
        <v>0.018099689612608463</v>
      </c>
      <c r="H52" s="109">
        <f>C52+E52</f>
        <v>67824920</v>
      </c>
      <c r="I52" s="112">
        <f t="shared" si="7"/>
        <v>69052530</v>
      </c>
      <c r="J52" s="110">
        <f t="shared" si="6"/>
        <v>0.018099689612608463</v>
      </c>
      <c r="K52" s="111">
        <f>H52/I53</f>
        <v>0.020659913852520105</v>
      </c>
    </row>
    <row r="53" spans="1:11" ht="10.5" thickBot="1">
      <c r="A53" s="250" t="s">
        <v>47</v>
      </c>
      <c r="B53" s="259">
        <f>SUM(B42:B52)</f>
        <v>1425586400</v>
      </c>
      <c r="C53" s="260">
        <f>SUM(C42:C52)</f>
        <v>1515927330</v>
      </c>
      <c r="D53" s="256">
        <f>(C53-B53)/B53</f>
        <v>0.06337106611005829</v>
      </c>
      <c r="E53" s="259">
        <f>SUM(E42:E52)</f>
        <v>1719174800</v>
      </c>
      <c r="F53" s="260">
        <f>SUM(F42:F52)</f>
        <v>1766996330</v>
      </c>
      <c r="G53" s="256">
        <f>(F53-E53)/E53</f>
        <v>0.02781656059639776</v>
      </c>
      <c r="H53" s="259">
        <f>SUM(H42:H52)</f>
        <v>3144761200</v>
      </c>
      <c r="I53" s="262">
        <f t="shared" si="7"/>
        <v>3282923660</v>
      </c>
      <c r="J53" s="256">
        <f>(I53-H53)/H53</f>
        <v>0.04393416581201778</v>
      </c>
      <c r="K53" s="261">
        <f>SUM(K42:K52)</f>
        <v>0.9579148118235561</v>
      </c>
    </row>
    <row r="54" spans="1:10" ht="9.75">
      <c r="A54" s="113" t="str">
        <f>A16</f>
        <v>Less Minimum Value Loss</v>
      </c>
      <c r="B54" s="114"/>
      <c r="D54" s="115"/>
      <c r="E54" s="114"/>
      <c r="G54" s="104"/>
      <c r="H54" s="108">
        <v>0</v>
      </c>
      <c r="I54" s="112">
        <v>0</v>
      </c>
      <c r="J54" s="126">
        <v>0</v>
      </c>
    </row>
    <row r="55" spans="1:10" ht="9.75">
      <c r="A55" s="113" t="s">
        <v>174</v>
      </c>
      <c r="B55" s="114"/>
      <c r="D55" s="115"/>
      <c r="E55" s="114"/>
      <c r="G55" s="104"/>
      <c r="H55" s="112">
        <v>-3207029</v>
      </c>
      <c r="I55" s="112">
        <v>-1509750</v>
      </c>
      <c r="J55" s="126">
        <f>(I55-H55)/H55</f>
        <v>-0.5292371849459422</v>
      </c>
    </row>
    <row r="56" spans="1:10" ht="10.5" thickBot="1">
      <c r="A56" s="113" t="s">
        <v>49</v>
      </c>
      <c r="B56" s="114"/>
      <c r="D56" s="115"/>
      <c r="E56" s="114"/>
      <c r="G56" s="104"/>
      <c r="H56" s="112">
        <v>-134547140</v>
      </c>
      <c r="I56" s="112">
        <v>-138639190</v>
      </c>
      <c r="J56" s="126">
        <f>(I56-H56)/H56</f>
        <v>0.030413504144346733</v>
      </c>
    </row>
    <row r="57" spans="1:10" ht="10.5" thickBot="1">
      <c r="A57" s="250" t="s">
        <v>50</v>
      </c>
      <c r="B57" s="251"/>
      <c r="C57" s="260"/>
      <c r="D57" s="252"/>
      <c r="E57" s="251"/>
      <c r="F57" s="260"/>
      <c r="G57" s="253"/>
      <c r="H57" s="254">
        <f>SUM(H53:H56)</f>
        <v>3007007031</v>
      </c>
      <c r="I57" s="255">
        <f>SUM(I53:I56)</f>
        <v>3142774720</v>
      </c>
      <c r="J57" s="256">
        <f>(I57-H57)/H57</f>
        <v>0.045150439490276</v>
      </c>
    </row>
    <row r="58" spans="1:10" ht="9.75">
      <c r="A58" s="113" t="s">
        <v>127</v>
      </c>
      <c r="B58" s="114"/>
      <c r="D58" s="115"/>
      <c r="E58" s="114"/>
      <c r="G58" s="104"/>
      <c r="H58" s="108">
        <v>-464630</v>
      </c>
      <c r="I58" s="112">
        <v>-507600</v>
      </c>
      <c r="J58" s="126">
        <f aca="true" t="shared" si="8" ref="J58:J66">(I58-H58)/H58</f>
        <v>0.09248219012978069</v>
      </c>
    </row>
    <row r="59" spans="1:10" ht="9.75">
      <c r="A59" s="113" t="s">
        <v>78</v>
      </c>
      <c r="B59" s="114"/>
      <c r="D59" s="115"/>
      <c r="E59" s="114"/>
      <c r="G59" s="104"/>
      <c r="H59" s="108">
        <v>-16594010</v>
      </c>
      <c r="I59" s="112">
        <v>-16410800</v>
      </c>
      <c r="J59" s="126">
        <f t="shared" si="8"/>
        <v>-0.011040730962558176</v>
      </c>
    </row>
    <row r="60" spans="1:10" ht="9.75">
      <c r="A60" s="113" t="s">
        <v>128</v>
      </c>
      <c r="B60" s="114"/>
      <c r="D60" s="115"/>
      <c r="E60" s="114"/>
      <c r="G60" s="104"/>
      <c r="H60" s="108">
        <v>0</v>
      </c>
      <c r="I60" s="112">
        <v>0</v>
      </c>
      <c r="J60" s="126">
        <v>0</v>
      </c>
    </row>
    <row r="61" spans="1:10" ht="9.75">
      <c r="A61" s="113" t="s">
        <v>157</v>
      </c>
      <c r="B61" s="114"/>
      <c r="D61" s="115"/>
      <c r="E61" s="114"/>
      <c r="G61" s="104"/>
      <c r="H61" s="108">
        <v>-67732100</v>
      </c>
      <c r="I61" s="112">
        <v>-69372570</v>
      </c>
      <c r="J61" s="126">
        <f t="shared" si="8"/>
        <v>0.024219978414961298</v>
      </c>
    </row>
    <row r="62" spans="1:10" ht="9.75">
      <c r="A62" s="113" t="s">
        <v>53</v>
      </c>
      <c r="B62" s="114"/>
      <c r="D62" s="115"/>
      <c r="E62" s="114"/>
      <c r="G62" s="104"/>
      <c r="H62" s="108">
        <v>-128484600</v>
      </c>
      <c r="I62" s="112">
        <v>-130227832</v>
      </c>
      <c r="J62" s="126">
        <f t="shared" si="8"/>
        <v>0.013567633786461569</v>
      </c>
    </row>
    <row r="63" spans="1:10" ht="9.75">
      <c r="A63" s="113" t="s">
        <v>54</v>
      </c>
      <c r="B63" s="114"/>
      <c r="D63" s="115"/>
      <c r="E63" s="114"/>
      <c r="G63" s="104"/>
      <c r="H63" s="108">
        <v>-14109525</v>
      </c>
      <c r="I63" s="112">
        <v>-14488074</v>
      </c>
      <c r="J63" s="126">
        <f t="shared" si="8"/>
        <v>0.026829322744741584</v>
      </c>
    </row>
    <row r="64" spans="1:10" ht="9.75">
      <c r="A64" s="113" t="s">
        <v>55</v>
      </c>
      <c r="B64" s="114"/>
      <c r="D64" s="115"/>
      <c r="E64" s="114"/>
      <c r="G64" s="104"/>
      <c r="H64" s="108">
        <v>-1217267</v>
      </c>
      <c r="I64" s="112">
        <v>-1212363</v>
      </c>
      <c r="J64" s="126">
        <f t="shared" si="8"/>
        <v>-0.0040286970730332786</v>
      </c>
    </row>
    <row r="65" spans="1:10" ht="9.75">
      <c r="A65" s="113" t="s">
        <v>56</v>
      </c>
      <c r="B65" s="114"/>
      <c r="D65" s="115"/>
      <c r="E65" s="114"/>
      <c r="G65" s="104"/>
      <c r="H65" s="108">
        <v>-7891164</v>
      </c>
      <c r="I65" s="112">
        <v>-9392756</v>
      </c>
      <c r="J65" s="126">
        <f t="shared" si="8"/>
        <v>0.19028776996650937</v>
      </c>
    </row>
    <row r="66" spans="1:10" ht="9.75">
      <c r="A66" s="113" t="s">
        <v>57</v>
      </c>
      <c r="B66" s="114"/>
      <c r="D66" s="115"/>
      <c r="E66" s="114"/>
      <c r="G66" s="104"/>
      <c r="H66" s="108">
        <v>-189517655</v>
      </c>
      <c r="I66" s="112">
        <v>-197274389</v>
      </c>
      <c r="J66" s="126">
        <f t="shared" si="8"/>
        <v>0.04092882006164544</v>
      </c>
    </row>
    <row r="67" spans="1:10" ht="9.75">
      <c r="A67" s="113" t="s">
        <v>58</v>
      </c>
      <c r="B67" s="114"/>
      <c r="D67" s="115"/>
      <c r="E67" s="114"/>
      <c r="G67" s="104"/>
      <c r="H67" s="108">
        <v>0</v>
      </c>
      <c r="I67" s="112">
        <v>0</v>
      </c>
      <c r="J67" s="126">
        <v>0</v>
      </c>
    </row>
    <row r="68" spans="1:10" ht="10.5" thickBot="1">
      <c r="A68" s="113" t="s">
        <v>59</v>
      </c>
      <c r="B68" s="114"/>
      <c r="D68" s="115"/>
      <c r="E68" s="114"/>
      <c r="G68" s="104"/>
      <c r="H68" s="108">
        <v>0</v>
      </c>
      <c r="I68" s="112">
        <v>0</v>
      </c>
      <c r="J68" s="126">
        <v>0</v>
      </c>
    </row>
    <row r="69" spans="1:10" ht="10.5" thickBot="1">
      <c r="A69" s="250" t="s">
        <v>60</v>
      </c>
      <c r="B69" s="251"/>
      <c r="C69" s="260"/>
      <c r="D69" s="252"/>
      <c r="E69" s="251"/>
      <c r="F69" s="260"/>
      <c r="G69" s="253"/>
      <c r="H69" s="254">
        <f>SUM(H57:H68)</f>
        <v>2580996080</v>
      </c>
      <c r="I69" s="257">
        <f>SUM(I57:I68)</f>
        <v>2703888336</v>
      </c>
      <c r="J69" s="256">
        <f>(I69-H69)/H69</f>
        <v>0.0476142745633306</v>
      </c>
    </row>
    <row r="70" spans="1:9" ht="9.75">
      <c r="A70" s="121" t="s">
        <v>61</v>
      </c>
      <c r="D70" s="104"/>
      <c r="E70" s="108">
        <v>130066162</v>
      </c>
      <c r="F70" s="112">
        <v>150547289</v>
      </c>
      <c r="G70" s="123">
        <f>(F70-E70)/E70</f>
        <v>0.15746698976171836</v>
      </c>
      <c r="H70" s="124"/>
      <c r="I70" s="125"/>
    </row>
    <row r="71" spans="1:9" ht="9.75">
      <c r="A71" s="121" t="s">
        <v>19</v>
      </c>
      <c r="D71" s="104"/>
      <c r="E71" s="127">
        <v>1457102</v>
      </c>
      <c r="F71" s="236">
        <v>1721434.87</v>
      </c>
      <c r="G71" s="123">
        <f>(F71-E71)/E71</f>
        <v>0.18140999737835795</v>
      </c>
      <c r="H71" s="124"/>
      <c r="I71" s="125"/>
    </row>
    <row r="72" spans="1:9" ht="9.75">
      <c r="A72" s="121" t="s">
        <v>206</v>
      </c>
      <c r="D72" s="104"/>
      <c r="E72" s="249">
        <v>1.37</v>
      </c>
      <c r="F72" s="376">
        <v>1.279</v>
      </c>
      <c r="G72" s="123">
        <f>(F72-E72)/E72</f>
        <v>-0.06642335766423371</v>
      </c>
      <c r="H72" s="229"/>
      <c r="I72" s="108"/>
    </row>
    <row r="73" spans="1:10" ht="9.75">
      <c r="A73" s="121" t="s">
        <v>62</v>
      </c>
      <c r="B73" s="104"/>
      <c r="C73" s="108"/>
      <c r="D73" s="104"/>
      <c r="E73" s="104"/>
      <c r="F73" s="108"/>
      <c r="G73" s="104"/>
      <c r="H73" s="318">
        <v>34576763</v>
      </c>
      <c r="I73" s="318">
        <f>(I69*F72)/100</f>
        <v>34582731.81744</v>
      </c>
      <c r="J73" s="123">
        <f>(I73-H73)/H73</f>
        <v>0.00017262510779285953</v>
      </c>
    </row>
    <row r="74" spans="1:10" ht="9.75">
      <c r="A74" s="121" t="s">
        <v>18</v>
      </c>
      <c r="G74" s="104"/>
      <c r="H74" s="118">
        <v>34847614</v>
      </c>
      <c r="I74" s="112">
        <v>27163589</v>
      </c>
      <c r="J74" s="123">
        <f>(I74-H74)/H74</f>
        <v>-0.22050361898521947</v>
      </c>
    </row>
    <row r="75" spans="1:10" ht="9.75">
      <c r="A75" s="121" t="s">
        <v>17</v>
      </c>
      <c r="G75" s="104"/>
      <c r="H75" s="118">
        <v>43846</v>
      </c>
      <c r="I75" s="112">
        <v>43417</v>
      </c>
      <c r="J75" s="123">
        <f>(I75-H75)/H75</f>
        <v>-0.009784244856999498</v>
      </c>
    </row>
    <row r="76" spans="1:10" s="136" customFormat="1" ht="10.5" thickBot="1">
      <c r="A76" s="132"/>
      <c r="C76" s="140"/>
      <c r="F76" s="140"/>
      <c r="H76" s="140"/>
      <c r="I76" s="140"/>
      <c r="J76" s="135"/>
    </row>
    <row r="77" spans="1:11" ht="10.5" thickBot="1">
      <c r="A77" s="369" t="s">
        <v>2</v>
      </c>
      <c r="B77" s="95" t="s">
        <v>32</v>
      </c>
      <c r="C77" s="372"/>
      <c r="D77" s="97"/>
      <c r="E77" s="95" t="s">
        <v>33</v>
      </c>
      <c r="F77" s="372"/>
      <c r="G77" s="97"/>
      <c r="H77" s="95" t="s">
        <v>34</v>
      </c>
      <c r="I77" s="372"/>
      <c r="J77" s="97"/>
      <c r="K77" s="99"/>
    </row>
    <row r="78" spans="1:11" ht="9.75">
      <c r="A78" s="9" t="s">
        <v>35</v>
      </c>
      <c r="B78" s="285" t="s">
        <v>200</v>
      </c>
      <c r="C78" s="308" t="s">
        <v>202</v>
      </c>
      <c r="D78" s="100" t="s">
        <v>67</v>
      </c>
      <c r="E78" s="285" t="str">
        <f>B78</f>
        <v>2018 Certified</v>
      </c>
      <c r="F78" s="308" t="s">
        <v>202</v>
      </c>
      <c r="G78" s="100" t="s">
        <v>67</v>
      </c>
      <c r="H78" s="101" t="str">
        <f>B78</f>
        <v>2018 Certified</v>
      </c>
      <c r="I78" s="384" t="s">
        <v>204</v>
      </c>
      <c r="J78" s="100" t="s">
        <v>67</v>
      </c>
      <c r="K78" s="207" t="s">
        <v>71</v>
      </c>
    </row>
    <row r="79" spans="2:11" ht="9.75">
      <c r="B79" s="103"/>
      <c r="C79" s="108"/>
      <c r="D79" s="105"/>
      <c r="E79" s="103"/>
      <c r="F79" s="108"/>
      <c r="G79" s="105"/>
      <c r="H79" s="103"/>
      <c r="I79" s="108"/>
      <c r="J79" s="105"/>
      <c r="K79" s="106"/>
    </row>
    <row r="80" spans="1:11" ht="9.75">
      <c r="A80" s="9" t="s">
        <v>36</v>
      </c>
      <c r="B80" s="107">
        <v>0</v>
      </c>
      <c r="C80" s="108"/>
      <c r="D80" s="105"/>
      <c r="E80" s="108">
        <v>14456610</v>
      </c>
      <c r="F80" s="108">
        <v>15016880</v>
      </c>
      <c r="G80" s="110">
        <f>(F80-E80)/E80</f>
        <v>0.03875528218579598</v>
      </c>
      <c r="H80" s="107">
        <f>B80+E80</f>
        <v>14456610</v>
      </c>
      <c r="I80" s="109">
        <f>(F80+C80)</f>
        <v>15016880</v>
      </c>
      <c r="J80" s="110">
        <f>(I80-H80)/H80</f>
        <v>0.03875528218579598</v>
      </c>
      <c r="K80" s="111">
        <f>I80/I91</f>
        <v>0.04821376943218739</v>
      </c>
    </row>
    <row r="81" spans="1:11" ht="9.75">
      <c r="A81" s="9" t="s">
        <v>37</v>
      </c>
      <c r="B81" s="107">
        <v>0</v>
      </c>
      <c r="C81" s="108"/>
      <c r="D81" s="105"/>
      <c r="E81" s="108">
        <v>0</v>
      </c>
      <c r="F81" s="108"/>
      <c r="G81" s="110">
        <v>0</v>
      </c>
      <c r="H81" s="107">
        <f aca="true" t="shared" si="9" ref="H81:H90">B81+E81</f>
        <v>0</v>
      </c>
      <c r="I81" s="109">
        <f aca="true" t="shared" si="10" ref="I81:I90">(F81+C81)</f>
        <v>0</v>
      </c>
      <c r="J81" s="110">
        <v>0</v>
      </c>
      <c r="K81" s="111">
        <f>I81/I91</f>
        <v>0</v>
      </c>
    </row>
    <row r="82" spans="1:11" ht="9.75">
      <c r="A82" s="9" t="s">
        <v>38</v>
      </c>
      <c r="B82" s="107">
        <v>0</v>
      </c>
      <c r="C82" s="108"/>
      <c r="D82" s="105"/>
      <c r="E82" s="108">
        <v>2414480</v>
      </c>
      <c r="F82" s="108">
        <v>2461700</v>
      </c>
      <c r="G82" s="110">
        <f aca="true" t="shared" si="11" ref="G82:G90">(F82-E82)/E82</f>
        <v>0.01955700606341738</v>
      </c>
      <c r="H82" s="107">
        <f t="shared" si="9"/>
        <v>2414480</v>
      </c>
      <c r="I82" s="109">
        <f t="shared" si="10"/>
        <v>2461700</v>
      </c>
      <c r="J82" s="110">
        <f aca="true" t="shared" si="12" ref="J82:J90">(I82-H82)/H82</f>
        <v>0.01955700606341738</v>
      </c>
      <c r="K82" s="111">
        <f>I82/I91</f>
        <v>0.00790362819781577</v>
      </c>
    </row>
    <row r="83" spans="1:11" ht="9.75">
      <c r="A83" s="9" t="s">
        <v>39</v>
      </c>
      <c r="B83" s="107">
        <v>0</v>
      </c>
      <c r="C83" s="108"/>
      <c r="D83" s="105"/>
      <c r="E83" s="108">
        <v>230792860</v>
      </c>
      <c r="F83" s="108">
        <v>237221280</v>
      </c>
      <c r="G83" s="110">
        <f t="shared" si="11"/>
        <v>0.027853634640170412</v>
      </c>
      <c r="H83" s="107">
        <f t="shared" si="9"/>
        <v>230792860</v>
      </c>
      <c r="I83" s="109">
        <f t="shared" si="10"/>
        <v>237221280</v>
      </c>
      <c r="J83" s="110">
        <f t="shared" si="12"/>
        <v>0.027853634640170412</v>
      </c>
      <c r="K83" s="111">
        <f>I83/I91</f>
        <v>0.7616317169963644</v>
      </c>
    </row>
    <row r="84" spans="1:11" ht="9.75">
      <c r="A84" s="9" t="s">
        <v>40</v>
      </c>
      <c r="B84" s="107">
        <v>0</v>
      </c>
      <c r="C84" s="108"/>
      <c r="D84" s="105"/>
      <c r="E84" s="108">
        <v>3231800</v>
      </c>
      <c r="F84" s="108">
        <v>3532880</v>
      </c>
      <c r="G84" s="110">
        <f t="shared" si="11"/>
        <v>0.09316170555108608</v>
      </c>
      <c r="H84" s="107">
        <f t="shared" si="9"/>
        <v>3231800</v>
      </c>
      <c r="I84" s="109">
        <f t="shared" si="10"/>
        <v>3532880</v>
      </c>
      <c r="J84" s="110">
        <f t="shared" si="12"/>
        <v>0.09316170555108608</v>
      </c>
      <c r="K84" s="111">
        <f>I84/I91</f>
        <v>0.011342799686192217</v>
      </c>
    </row>
    <row r="85" spans="1:11" ht="9.75">
      <c r="A85" s="9" t="s">
        <v>41</v>
      </c>
      <c r="B85" s="152">
        <v>10083080</v>
      </c>
      <c r="C85" s="108">
        <v>13462100</v>
      </c>
      <c r="D85" s="110">
        <f>(C85-B85)/B85</f>
        <v>0.33511784097716174</v>
      </c>
      <c r="E85" s="108">
        <v>0</v>
      </c>
      <c r="F85" s="108">
        <v>0</v>
      </c>
      <c r="G85" s="110">
        <v>0</v>
      </c>
      <c r="H85" s="107">
        <f t="shared" si="9"/>
        <v>10083080</v>
      </c>
      <c r="I85" s="109">
        <f t="shared" si="10"/>
        <v>13462100</v>
      </c>
      <c r="J85" s="110">
        <f t="shared" si="12"/>
        <v>0.33511784097716174</v>
      </c>
      <c r="K85" s="111">
        <f>I85/I91</f>
        <v>0.04322193328261595</v>
      </c>
    </row>
    <row r="86" spans="1:11" ht="9.75">
      <c r="A86" s="9" t="s">
        <v>42</v>
      </c>
      <c r="B86" s="152">
        <v>19063630</v>
      </c>
      <c r="C86" s="108">
        <v>19771210</v>
      </c>
      <c r="D86" s="110">
        <f>(C86-B86)/B86</f>
        <v>0.03711675058737502</v>
      </c>
      <c r="E86" s="108">
        <v>53520</v>
      </c>
      <c r="F86" s="108">
        <v>63620</v>
      </c>
      <c r="G86" s="110">
        <f t="shared" si="11"/>
        <v>0.18871449925261585</v>
      </c>
      <c r="H86" s="107">
        <f t="shared" si="9"/>
        <v>19117150</v>
      </c>
      <c r="I86" s="109">
        <f t="shared" si="10"/>
        <v>19834830</v>
      </c>
      <c r="J86" s="110">
        <f t="shared" si="12"/>
        <v>0.03754116068556244</v>
      </c>
      <c r="K86" s="111">
        <f>I86/I91</f>
        <v>0.06368246402359434</v>
      </c>
    </row>
    <row r="87" spans="1:11" ht="9.75">
      <c r="A87" s="9" t="s">
        <v>43</v>
      </c>
      <c r="B87" s="152">
        <v>1730270</v>
      </c>
      <c r="C87" s="108">
        <v>1585500</v>
      </c>
      <c r="D87" s="110">
        <f>(C87-B87)/B87</f>
        <v>-0.08366902275367429</v>
      </c>
      <c r="E87" s="108">
        <v>3075450</v>
      </c>
      <c r="F87" s="108">
        <v>3080820</v>
      </c>
      <c r="G87" s="110">
        <f t="shared" si="11"/>
        <v>0.0017460859386431253</v>
      </c>
      <c r="H87" s="107">
        <f t="shared" si="9"/>
        <v>4805720</v>
      </c>
      <c r="I87" s="109">
        <f t="shared" si="10"/>
        <v>4666320</v>
      </c>
      <c r="J87" s="110">
        <f t="shared" si="12"/>
        <v>-0.029007099872651758</v>
      </c>
      <c r="K87" s="111">
        <f>I87/I91</f>
        <v>0.014981865512463617</v>
      </c>
    </row>
    <row r="88" spans="1:11" ht="9.75">
      <c r="A88" s="9" t="s">
        <v>44</v>
      </c>
      <c r="B88" s="107">
        <v>0</v>
      </c>
      <c r="C88" s="108">
        <v>0</v>
      </c>
      <c r="D88" s="110"/>
      <c r="E88" s="108">
        <v>4706200</v>
      </c>
      <c r="F88" s="108">
        <v>4908900</v>
      </c>
      <c r="G88" s="110">
        <f t="shared" si="11"/>
        <v>0.04307084271811653</v>
      </c>
      <c r="H88" s="107">
        <f t="shared" si="9"/>
        <v>4706200</v>
      </c>
      <c r="I88" s="109">
        <f t="shared" si="10"/>
        <v>4908900</v>
      </c>
      <c r="J88" s="110">
        <f t="shared" si="12"/>
        <v>0.04307084271811653</v>
      </c>
      <c r="K88" s="111">
        <f>I88/I91</f>
        <v>0.01576070214090175</v>
      </c>
    </row>
    <row r="89" spans="1:11" ht="9.75">
      <c r="A89" s="9" t="s">
        <v>45</v>
      </c>
      <c r="B89" s="107">
        <v>0</v>
      </c>
      <c r="C89" s="108">
        <v>0</v>
      </c>
      <c r="D89" s="110"/>
      <c r="E89" s="108">
        <v>55760</v>
      </c>
      <c r="F89" s="108">
        <v>55760</v>
      </c>
      <c r="G89" s="110">
        <f t="shared" si="11"/>
        <v>0</v>
      </c>
      <c r="H89" s="107">
        <f t="shared" si="9"/>
        <v>55760</v>
      </c>
      <c r="I89" s="109">
        <f t="shared" si="10"/>
        <v>55760</v>
      </c>
      <c r="J89" s="110">
        <v>0</v>
      </c>
      <c r="K89" s="111">
        <f>I89/I91</f>
        <v>0.00017902518922297898</v>
      </c>
    </row>
    <row r="90" spans="1:11" ht="10.5" thickBot="1">
      <c r="A90" s="9" t="s">
        <v>46</v>
      </c>
      <c r="B90" s="276">
        <v>0</v>
      </c>
      <c r="C90" s="277">
        <v>0</v>
      </c>
      <c r="D90" s="278"/>
      <c r="E90" s="277">
        <v>10270770</v>
      </c>
      <c r="F90" s="277">
        <v>10303900</v>
      </c>
      <c r="G90" s="278">
        <f t="shared" si="11"/>
        <v>0.0032256588357055995</v>
      </c>
      <c r="H90" s="107">
        <f t="shared" si="9"/>
        <v>10270770</v>
      </c>
      <c r="I90" s="368">
        <f t="shared" si="10"/>
        <v>10303900</v>
      </c>
      <c r="J90" s="110">
        <f t="shared" si="12"/>
        <v>0.0032256588357055995</v>
      </c>
      <c r="K90" s="111">
        <f>I90/I91</f>
        <v>0.033082095538641554</v>
      </c>
    </row>
    <row r="91" spans="1:11" ht="10.5" thickBot="1">
      <c r="A91" s="250" t="s">
        <v>47</v>
      </c>
      <c r="B91" s="259">
        <f>SUM(B80:B90)</f>
        <v>30876980</v>
      </c>
      <c r="C91" s="260">
        <f>SUM(C80:C90)</f>
        <v>34818810</v>
      </c>
      <c r="D91" s="256">
        <f>(C91-B91)/B91</f>
        <v>0.12766242035328584</v>
      </c>
      <c r="E91" s="277">
        <f>SUM(E80:E90)</f>
        <v>269057450</v>
      </c>
      <c r="F91" s="277">
        <f>SUM(F80:F90)</f>
        <v>276645740</v>
      </c>
      <c r="G91" s="278">
        <f>(F91-E91)/E91</f>
        <v>0.028203233175665643</v>
      </c>
      <c r="H91" s="255">
        <f>SUM(H80:H90)</f>
        <v>299934430</v>
      </c>
      <c r="I91" s="277">
        <f>SUM(F91+C91)</f>
        <v>311464550</v>
      </c>
      <c r="J91" s="256">
        <f>(I91-H91)/H91</f>
        <v>0.03844213550274972</v>
      </c>
      <c r="K91" s="261">
        <f>SUM(K80:K90)</f>
        <v>1</v>
      </c>
    </row>
    <row r="92" spans="1:10" ht="9.75">
      <c r="A92" s="113" t="str">
        <f>A16</f>
        <v>Less Minimum Value Loss</v>
      </c>
      <c r="B92" s="114"/>
      <c r="D92" s="115"/>
      <c r="E92" s="114"/>
      <c r="G92" s="104"/>
      <c r="H92" s="108">
        <f>'2019 Certified Estimate'!H94</f>
        <v>0</v>
      </c>
      <c r="I92" s="109">
        <v>0</v>
      </c>
      <c r="J92" s="117">
        <v>0</v>
      </c>
    </row>
    <row r="93" spans="1:10" ht="9.75">
      <c r="A93" s="113" t="s">
        <v>174</v>
      </c>
      <c r="B93" s="114"/>
      <c r="D93" s="115"/>
      <c r="E93" s="114"/>
      <c r="G93" s="104"/>
      <c r="H93" s="109">
        <v>-862100</v>
      </c>
      <c r="I93" s="112">
        <v>-556762</v>
      </c>
      <c r="J93" s="117">
        <f>(I93-H93)/H93</f>
        <v>-0.3541793295441364</v>
      </c>
    </row>
    <row r="94" spans="1:10" ht="10.5" thickBot="1">
      <c r="A94" s="113" t="s">
        <v>49</v>
      </c>
      <c r="B94" s="114"/>
      <c r="D94" s="115"/>
      <c r="E94" s="114"/>
      <c r="G94" s="104"/>
      <c r="H94" s="109">
        <v>-84212730</v>
      </c>
      <c r="I94" s="112">
        <v>-87131150</v>
      </c>
      <c r="J94" s="126">
        <f>(I94-H94)/H94</f>
        <v>0.03465533061331701</v>
      </c>
    </row>
    <row r="95" spans="1:10" ht="10.5" thickBot="1">
      <c r="A95" s="250" t="s">
        <v>50</v>
      </c>
      <c r="B95" s="251"/>
      <c r="C95" s="260"/>
      <c r="D95" s="252"/>
      <c r="E95" s="251"/>
      <c r="F95" s="260"/>
      <c r="G95" s="253"/>
      <c r="H95" s="254">
        <f>SUM(H91:H94)</f>
        <v>214859600</v>
      </c>
      <c r="I95" s="255">
        <f>SUM(I91:I94)</f>
        <v>223776638</v>
      </c>
      <c r="J95" s="256">
        <f>(I95-H95)/H95</f>
        <v>0.041501696922083074</v>
      </c>
    </row>
    <row r="96" spans="1:10" ht="9.75">
      <c r="A96" s="113" t="s">
        <v>127</v>
      </c>
      <c r="B96" s="114"/>
      <c r="D96" s="115"/>
      <c r="E96" s="114"/>
      <c r="F96" s="118"/>
      <c r="G96" s="104"/>
      <c r="H96" s="120">
        <v>-187692</v>
      </c>
      <c r="I96" s="112">
        <v>-184922</v>
      </c>
      <c r="J96" s="117">
        <f aca="true" t="shared" si="13" ref="J96:J104">(I96-H96)/H96</f>
        <v>-0.014758220915116254</v>
      </c>
    </row>
    <row r="97" spans="1:10" ht="9.75">
      <c r="A97" s="113" t="s">
        <v>78</v>
      </c>
      <c r="B97" s="114"/>
      <c r="D97" s="115"/>
      <c r="E97" s="114"/>
      <c r="G97" s="104"/>
      <c r="H97" s="119">
        <v>0</v>
      </c>
      <c r="I97" s="112">
        <v>0</v>
      </c>
      <c r="J97" s="117">
        <v>0</v>
      </c>
    </row>
    <row r="98" spans="1:10" ht="9.75">
      <c r="A98" s="113" t="s">
        <v>128</v>
      </c>
      <c r="B98" s="114"/>
      <c r="D98" s="115"/>
      <c r="E98" s="114"/>
      <c r="G98" s="104"/>
      <c r="H98" s="119">
        <v>0</v>
      </c>
      <c r="I98" s="112">
        <v>0</v>
      </c>
      <c r="J98" s="117">
        <v>0</v>
      </c>
    </row>
    <row r="99" spans="1:10" ht="9.75">
      <c r="A99" s="113" t="s">
        <v>157</v>
      </c>
      <c r="B99" s="114"/>
      <c r="D99" s="115"/>
      <c r="E99" s="114"/>
      <c r="G99" s="104"/>
      <c r="H99" s="118">
        <v>-10262550</v>
      </c>
      <c r="I99" s="112">
        <v>-10296760</v>
      </c>
      <c r="J99" s="117">
        <f t="shared" si="13"/>
        <v>0.0033334794958368046</v>
      </c>
    </row>
    <row r="100" spans="1:10" ht="9.75">
      <c r="A100" s="113" t="s">
        <v>53</v>
      </c>
      <c r="B100" s="114"/>
      <c r="D100" s="115"/>
      <c r="E100" s="114"/>
      <c r="G100" s="104"/>
      <c r="H100" s="118">
        <v>-19870890</v>
      </c>
      <c r="I100" s="112">
        <v>-20449522</v>
      </c>
      <c r="J100" s="117">
        <f t="shared" si="13"/>
        <v>0.029119581458102783</v>
      </c>
    </row>
    <row r="101" spans="1:10" ht="9.75">
      <c r="A101" s="113" t="s">
        <v>54</v>
      </c>
      <c r="B101" s="114"/>
      <c r="D101" s="115"/>
      <c r="E101" s="114"/>
      <c r="G101" s="104"/>
      <c r="H101" s="118">
        <v>-2258089</v>
      </c>
      <c r="I101" s="112">
        <v>-2396279</v>
      </c>
      <c r="J101" s="117">
        <f t="shared" si="13"/>
        <v>0.06119776501280508</v>
      </c>
    </row>
    <row r="102" spans="1:10" ht="9.75">
      <c r="A102" s="113" t="s">
        <v>55</v>
      </c>
      <c r="B102" s="114"/>
      <c r="D102" s="115"/>
      <c r="E102" s="114"/>
      <c r="G102" s="104"/>
      <c r="H102" s="118">
        <v>-392480</v>
      </c>
      <c r="I102" s="112">
        <v>-379992</v>
      </c>
      <c r="J102" s="117">
        <f t="shared" si="13"/>
        <v>-0.031818181818181815</v>
      </c>
    </row>
    <row r="103" spans="1:10" ht="9.75">
      <c r="A103" s="113" t="s">
        <v>56</v>
      </c>
      <c r="B103" s="114"/>
      <c r="D103" s="115"/>
      <c r="E103" s="114"/>
      <c r="G103" s="104"/>
      <c r="H103" s="118">
        <v>-1142448</v>
      </c>
      <c r="I103" s="112">
        <v>-1475146</v>
      </c>
      <c r="J103" s="117">
        <f t="shared" si="13"/>
        <v>0.2912150049717799</v>
      </c>
    </row>
    <row r="104" spans="1:10" ht="9.75">
      <c r="A104" s="113" t="s">
        <v>57</v>
      </c>
      <c r="B104" s="114"/>
      <c r="D104" s="115"/>
      <c r="E104" s="114"/>
      <c r="G104" s="104"/>
      <c r="H104" s="118">
        <v>-21277649</v>
      </c>
      <c r="I104" s="112">
        <v>-22084337</v>
      </c>
      <c r="J104" s="117">
        <f t="shared" si="13"/>
        <v>0.03791245921953126</v>
      </c>
    </row>
    <row r="105" spans="1:10" ht="9.75">
      <c r="A105" s="113" t="s">
        <v>58</v>
      </c>
      <c r="B105" s="114"/>
      <c r="D105" s="115"/>
      <c r="E105" s="114"/>
      <c r="G105" s="104"/>
      <c r="H105" s="119">
        <v>0</v>
      </c>
      <c r="I105" s="112">
        <v>0</v>
      </c>
      <c r="J105" s="117">
        <v>0</v>
      </c>
    </row>
    <row r="106" spans="1:10" ht="10.5" thickBot="1">
      <c r="A106" s="113" t="s">
        <v>59</v>
      </c>
      <c r="B106" s="114"/>
      <c r="D106" s="115"/>
      <c r="E106" s="114"/>
      <c r="G106" s="104"/>
      <c r="H106" s="119">
        <v>0</v>
      </c>
      <c r="I106" s="112">
        <v>0</v>
      </c>
      <c r="J106" s="117">
        <v>0</v>
      </c>
    </row>
    <row r="107" spans="1:10" ht="10.5" thickBot="1">
      <c r="A107" s="250" t="s">
        <v>60</v>
      </c>
      <c r="B107" s="251"/>
      <c r="C107" s="260"/>
      <c r="D107" s="252"/>
      <c r="E107" s="251"/>
      <c r="F107" s="260"/>
      <c r="G107" s="253"/>
      <c r="H107" s="254">
        <f>SUM(H95:H106)</f>
        <v>159467802</v>
      </c>
      <c r="I107" s="257">
        <f>SUM(I95:I106)</f>
        <v>166509680</v>
      </c>
      <c r="J107" s="256">
        <f>(I107-H107)/H107</f>
        <v>0.044158619556316454</v>
      </c>
    </row>
    <row r="108" spans="1:9" ht="9.75">
      <c r="A108" s="121" t="s">
        <v>61</v>
      </c>
      <c r="B108" s="114"/>
      <c r="D108" s="230"/>
      <c r="E108" s="108">
        <v>16536502</v>
      </c>
      <c r="F108" s="118">
        <v>17990852</v>
      </c>
      <c r="G108" s="123">
        <f>(F108-E108)/E108</f>
        <v>0.08794786225043241</v>
      </c>
      <c r="H108" s="124"/>
      <c r="I108" s="125"/>
    </row>
    <row r="109" spans="1:11" ht="9.75">
      <c r="A109" s="121" t="s">
        <v>19</v>
      </c>
      <c r="D109" s="104"/>
      <c r="E109" s="127">
        <v>161553.14</v>
      </c>
      <c r="F109" s="137">
        <v>175397.88</v>
      </c>
      <c r="G109" s="123">
        <f>(F109-E109)/E109</f>
        <v>0.08569774626478933</v>
      </c>
      <c r="H109" s="124"/>
      <c r="I109" s="125"/>
      <c r="K109" s="130"/>
    </row>
    <row r="110" spans="1:9" ht="9.75">
      <c r="A110" s="121" t="str">
        <f>A72</f>
        <v>2019 Adopted/2019 Revenue Neutral Tax Rate</v>
      </c>
      <c r="D110" s="104"/>
      <c r="E110" s="249">
        <v>1.25</v>
      </c>
      <c r="F110" s="141">
        <v>1.148</v>
      </c>
      <c r="G110" s="123">
        <f>(F110-E110)/E110</f>
        <v>-0.08160000000000008</v>
      </c>
      <c r="H110" s="112"/>
      <c r="I110" s="108"/>
    </row>
    <row r="111" spans="1:10" ht="9.75">
      <c r="A111" s="121" t="s">
        <v>62</v>
      </c>
      <c r="B111" s="104"/>
      <c r="C111" s="108"/>
      <c r="D111" s="104"/>
      <c r="E111" s="104"/>
      <c r="F111" s="108"/>
      <c r="G111" s="104"/>
      <c r="H111" s="318">
        <v>1880431</v>
      </c>
      <c r="I111" s="318">
        <f>(I107-F108)*F110/100+F109</f>
        <v>1880394.02544</v>
      </c>
      <c r="J111" s="123">
        <f>(I111-H111)/H111</f>
        <v>-1.966281134484721E-05</v>
      </c>
    </row>
    <row r="112" spans="1:10" ht="9.75">
      <c r="A112" s="121" t="s">
        <v>18</v>
      </c>
      <c r="G112" s="104"/>
      <c r="H112" s="118">
        <v>2305033</v>
      </c>
      <c r="I112" s="112">
        <v>5395846</v>
      </c>
      <c r="J112" s="123">
        <f>(I112-H112)/H112</f>
        <v>1.340897505588857</v>
      </c>
    </row>
    <row r="113" spans="1:10" ht="9.75">
      <c r="A113" s="121" t="s">
        <v>17</v>
      </c>
      <c r="G113" s="104"/>
      <c r="H113" s="118">
        <v>8166</v>
      </c>
      <c r="I113" s="112">
        <v>7856</v>
      </c>
      <c r="J113" s="123">
        <f>(I113-H113)/H113</f>
        <v>-0.03796228263531717</v>
      </c>
    </row>
    <row r="114" spans="1:10" s="136" customFormat="1" ht="10.5" thickBot="1">
      <c r="A114" s="132"/>
      <c r="C114" s="140"/>
      <c r="F114" s="140"/>
      <c r="H114" s="140"/>
      <c r="I114" s="140"/>
      <c r="J114" s="135"/>
    </row>
    <row r="115" spans="1:11" ht="10.5" thickBot="1">
      <c r="A115" s="369" t="s">
        <v>3</v>
      </c>
      <c r="B115" s="95" t="s">
        <v>32</v>
      </c>
      <c r="C115" s="372"/>
      <c r="D115" s="97"/>
      <c r="E115" s="95" t="s">
        <v>33</v>
      </c>
      <c r="F115" s="372"/>
      <c r="G115" s="97"/>
      <c r="H115" s="95" t="s">
        <v>34</v>
      </c>
      <c r="I115" s="372"/>
      <c r="J115" s="97"/>
      <c r="K115" s="99"/>
    </row>
    <row r="116" spans="1:11" ht="9.75">
      <c r="A116" s="99" t="s">
        <v>35</v>
      </c>
      <c r="B116" s="286" t="s">
        <v>200</v>
      </c>
      <c r="C116" s="308" t="s">
        <v>202</v>
      </c>
      <c r="D116" s="100" t="s">
        <v>67</v>
      </c>
      <c r="E116" s="285" t="str">
        <f>B116</f>
        <v>2018 Certified</v>
      </c>
      <c r="F116" s="308" t="s">
        <v>202</v>
      </c>
      <c r="G116" s="100" t="s">
        <v>67</v>
      </c>
      <c r="H116" s="101" t="str">
        <f>B116</f>
        <v>2018 Certified</v>
      </c>
      <c r="I116" s="384" t="s">
        <v>204</v>
      </c>
      <c r="J116" s="100" t="s">
        <v>67</v>
      </c>
      <c r="K116" s="207" t="s">
        <v>71</v>
      </c>
    </row>
    <row r="117" spans="1:11" ht="9.75">
      <c r="A117" s="106"/>
      <c r="B117" s="104"/>
      <c r="C117" s="108"/>
      <c r="D117" s="105"/>
      <c r="E117" s="103"/>
      <c r="F117" s="108"/>
      <c r="G117" s="105"/>
      <c r="H117" s="103"/>
      <c r="I117" s="108"/>
      <c r="J117" s="105"/>
      <c r="K117" s="106"/>
    </row>
    <row r="118" spans="1:11" ht="9.75">
      <c r="A118" s="106" t="s">
        <v>36</v>
      </c>
      <c r="B118" s="108">
        <v>0</v>
      </c>
      <c r="C118" s="108">
        <v>0</v>
      </c>
      <c r="D118" s="105"/>
      <c r="E118" s="112">
        <v>58091860</v>
      </c>
      <c r="F118" s="112">
        <v>58323090</v>
      </c>
      <c r="G118" s="110">
        <f>(F118-E118)/E118</f>
        <v>0.003980419976223864</v>
      </c>
      <c r="H118" s="107">
        <f>B118+E118</f>
        <v>58091860</v>
      </c>
      <c r="I118" s="108">
        <f>C118+F118</f>
        <v>58323090</v>
      </c>
      <c r="J118" s="110">
        <f aca="true" t="shared" si="14" ref="J118:J126">(I118-H118)/H118</f>
        <v>0.003980419976223864</v>
      </c>
      <c r="K118" s="111">
        <f>I118/I129</f>
        <v>0.1559717946693045</v>
      </c>
    </row>
    <row r="119" spans="1:11" ht="9.75">
      <c r="A119" s="106" t="s">
        <v>37</v>
      </c>
      <c r="B119" s="108">
        <v>0</v>
      </c>
      <c r="C119" s="108">
        <v>0</v>
      </c>
      <c r="D119" s="105"/>
      <c r="E119" s="112">
        <v>420340</v>
      </c>
      <c r="F119" s="112">
        <v>423820</v>
      </c>
      <c r="G119" s="110">
        <f aca="true" t="shared" si="15" ref="G119:G128">(F119-E119)/E119</f>
        <v>0.008279012228196223</v>
      </c>
      <c r="H119" s="107">
        <f aca="true" t="shared" si="16" ref="H119:H128">B119+E119</f>
        <v>420340</v>
      </c>
      <c r="I119" s="108">
        <f aca="true" t="shared" si="17" ref="I119:I128">C119+F119</f>
        <v>423820</v>
      </c>
      <c r="J119" s="110">
        <f t="shared" si="14"/>
        <v>0.008279012228196223</v>
      </c>
      <c r="K119" s="111">
        <f>I119/I129</f>
        <v>0.0011334098727749959</v>
      </c>
    </row>
    <row r="120" spans="1:11" ht="9.75">
      <c r="A120" s="106" t="s">
        <v>38</v>
      </c>
      <c r="B120" s="108">
        <v>0</v>
      </c>
      <c r="C120" s="108">
        <v>0</v>
      </c>
      <c r="D120" s="105"/>
      <c r="E120" s="112">
        <v>3646030</v>
      </c>
      <c r="F120" s="112">
        <v>3734380</v>
      </c>
      <c r="G120" s="110">
        <f t="shared" si="15"/>
        <v>0.024231835722690158</v>
      </c>
      <c r="H120" s="107">
        <f t="shared" si="16"/>
        <v>3646030</v>
      </c>
      <c r="I120" s="108">
        <f t="shared" si="17"/>
        <v>3734380</v>
      </c>
      <c r="J120" s="110">
        <f t="shared" si="14"/>
        <v>0.024231835722690158</v>
      </c>
      <c r="K120" s="111">
        <f>I120/I129</f>
        <v>0.009986747111258291</v>
      </c>
    </row>
    <row r="121" spans="1:11" ht="9.75">
      <c r="A121" s="106" t="s">
        <v>39</v>
      </c>
      <c r="B121" s="108">
        <v>0</v>
      </c>
      <c r="C121" s="108">
        <v>0</v>
      </c>
      <c r="D121" s="105"/>
      <c r="E121" s="112">
        <v>214977730</v>
      </c>
      <c r="F121" s="112">
        <v>218466830</v>
      </c>
      <c r="G121" s="110">
        <f t="shared" si="15"/>
        <v>0.016230053224582843</v>
      </c>
      <c r="H121" s="107">
        <f t="shared" si="16"/>
        <v>214977730</v>
      </c>
      <c r="I121" s="108">
        <f t="shared" si="17"/>
        <v>218466830</v>
      </c>
      <c r="J121" s="110">
        <f t="shared" si="14"/>
        <v>0.016230053224582843</v>
      </c>
      <c r="K121" s="111">
        <f>I121/I129</f>
        <v>0.5842396819306702</v>
      </c>
    </row>
    <row r="122" spans="1:11" ht="9.75">
      <c r="A122" s="106" t="s">
        <v>40</v>
      </c>
      <c r="B122" s="108">
        <v>367230</v>
      </c>
      <c r="C122" s="108">
        <v>368350</v>
      </c>
      <c r="D122" s="110">
        <f>(C122-B122)/B122</f>
        <v>0.0030498597609127796</v>
      </c>
      <c r="E122" s="112">
        <v>5641480</v>
      </c>
      <c r="F122" s="112">
        <v>6244430</v>
      </c>
      <c r="G122" s="110">
        <f t="shared" si="15"/>
        <v>0.10687798237341974</v>
      </c>
      <c r="H122" s="107">
        <f t="shared" si="16"/>
        <v>6008710</v>
      </c>
      <c r="I122" s="108">
        <f t="shared" si="17"/>
        <v>6612780</v>
      </c>
      <c r="J122" s="110">
        <f t="shared" si="14"/>
        <v>0.10053239380832159</v>
      </c>
      <c r="K122" s="111">
        <f>I122/I129</f>
        <v>0.01768437105018413</v>
      </c>
    </row>
    <row r="123" spans="1:11" ht="9.75">
      <c r="A123" s="106" t="s">
        <v>41</v>
      </c>
      <c r="B123" s="108">
        <v>24141930</v>
      </c>
      <c r="C123" s="108">
        <v>24061220</v>
      </c>
      <c r="D123" s="110">
        <f>(C123-B123)/B123</f>
        <v>-0.003343146136203692</v>
      </c>
      <c r="E123" s="112">
        <v>0</v>
      </c>
      <c r="F123" s="112">
        <v>0</v>
      </c>
      <c r="G123" s="110">
        <v>0</v>
      </c>
      <c r="H123" s="107">
        <f t="shared" si="16"/>
        <v>24141930</v>
      </c>
      <c r="I123" s="108">
        <f t="shared" si="17"/>
        <v>24061220</v>
      </c>
      <c r="J123" s="110">
        <f t="shared" si="14"/>
        <v>-0.003343146136203692</v>
      </c>
      <c r="K123" s="111">
        <f>I123/I129</f>
        <v>0.0643462420343806</v>
      </c>
    </row>
    <row r="124" spans="1:11" ht="9.75">
      <c r="A124" s="106" t="s">
        <v>42</v>
      </c>
      <c r="B124" s="108">
        <v>29699220</v>
      </c>
      <c r="C124" s="108">
        <v>32775040</v>
      </c>
      <c r="D124" s="110">
        <f>(C124-B124)/B124</f>
        <v>0.1035656828697858</v>
      </c>
      <c r="E124" s="112">
        <v>135170</v>
      </c>
      <c r="F124" s="112">
        <v>137420</v>
      </c>
      <c r="G124" s="110">
        <f t="shared" si="15"/>
        <v>0.016645705408004734</v>
      </c>
      <c r="H124" s="107">
        <f t="shared" si="16"/>
        <v>29834390</v>
      </c>
      <c r="I124" s="108">
        <f t="shared" si="17"/>
        <v>32912460</v>
      </c>
      <c r="J124" s="110">
        <f t="shared" si="14"/>
        <v>0.10317187648214024</v>
      </c>
      <c r="K124" s="111">
        <f>I124/I129</f>
        <v>0.08801686353006498</v>
      </c>
    </row>
    <row r="125" spans="1:11" ht="9.75">
      <c r="A125" s="106" t="s">
        <v>43</v>
      </c>
      <c r="B125" s="108">
        <v>2390720</v>
      </c>
      <c r="C125" s="108">
        <v>2012620</v>
      </c>
      <c r="D125" s="110">
        <f>(C125-B125)/B125</f>
        <v>-0.1581531923437291</v>
      </c>
      <c r="E125" s="112">
        <v>1565810</v>
      </c>
      <c r="F125" s="112">
        <v>2067820</v>
      </c>
      <c r="G125" s="110">
        <f t="shared" si="15"/>
        <v>0.3206072256531763</v>
      </c>
      <c r="H125" s="107">
        <f t="shared" si="16"/>
        <v>3956530</v>
      </c>
      <c r="I125" s="108">
        <f t="shared" si="17"/>
        <v>4080440</v>
      </c>
      <c r="J125" s="110">
        <f t="shared" si="14"/>
        <v>0.031317846699001395</v>
      </c>
      <c r="K125" s="111">
        <f>I125/I129</f>
        <v>0.010912205609140682</v>
      </c>
    </row>
    <row r="126" spans="1:11" ht="9.75">
      <c r="A126" s="106" t="s">
        <v>44</v>
      </c>
      <c r="B126" s="108">
        <v>0</v>
      </c>
      <c r="C126" s="108">
        <v>0</v>
      </c>
      <c r="D126" s="110"/>
      <c r="E126" s="112">
        <v>3391320</v>
      </c>
      <c r="F126" s="112">
        <v>3344150</v>
      </c>
      <c r="G126" s="110">
        <f t="shared" si="15"/>
        <v>-0.013909038368540863</v>
      </c>
      <c r="H126" s="107">
        <f t="shared" si="16"/>
        <v>3391320</v>
      </c>
      <c r="I126" s="108">
        <f t="shared" si="17"/>
        <v>3344150</v>
      </c>
      <c r="J126" s="110">
        <f t="shared" si="14"/>
        <v>-0.013909038368540863</v>
      </c>
      <c r="K126" s="111">
        <f>I126/I129</f>
        <v>0.008943166028126334</v>
      </c>
    </row>
    <row r="127" spans="1:11" ht="9.75">
      <c r="A127" s="106" t="s">
        <v>45</v>
      </c>
      <c r="B127" s="108">
        <v>0</v>
      </c>
      <c r="C127" s="108">
        <v>0</v>
      </c>
      <c r="D127" s="110"/>
      <c r="E127" s="112">
        <v>0</v>
      </c>
      <c r="G127" s="110">
        <v>0</v>
      </c>
      <c r="H127" s="107">
        <f t="shared" si="16"/>
        <v>0</v>
      </c>
      <c r="I127" s="108">
        <f t="shared" si="17"/>
        <v>0</v>
      </c>
      <c r="J127" s="110">
        <v>0</v>
      </c>
      <c r="K127" s="111">
        <f>I127/I129</f>
        <v>0</v>
      </c>
    </row>
    <row r="128" spans="1:11" ht="10.5" thickBot="1">
      <c r="A128" s="284" t="s">
        <v>46</v>
      </c>
      <c r="B128" s="277">
        <v>0</v>
      </c>
      <c r="C128" s="277">
        <v>0</v>
      </c>
      <c r="D128" s="278"/>
      <c r="E128" s="112">
        <v>21733150</v>
      </c>
      <c r="F128" s="112">
        <v>21974400</v>
      </c>
      <c r="G128" s="110">
        <f t="shared" si="15"/>
        <v>0.01110055376234002</v>
      </c>
      <c r="H128" s="107">
        <f t="shared" si="16"/>
        <v>21733150</v>
      </c>
      <c r="I128" s="108">
        <f t="shared" si="17"/>
        <v>21974400</v>
      </c>
      <c r="J128" s="110">
        <f aca="true" t="shared" si="18" ref="J128:J142">(I128-H128)/H128</f>
        <v>0.01110055376234002</v>
      </c>
      <c r="K128" s="111">
        <f>I128/I129</f>
        <v>0.058765518164095296</v>
      </c>
    </row>
    <row r="129" spans="1:11" ht="10.5" thickBot="1">
      <c r="A129" s="250" t="s">
        <v>47</v>
      </c>
      <c r="B129" s="259">
        <f>SUM(B118:B128)</f>
        <v>56599100</v>
      </c>
      <c r="C129" s="260">
        <f>SUM(C118:C128)</f>
        <v>59217230</v>
      </c>
      <c r="D129" s="256">
        <f>(C129-B129)/B129</f>
        <v>0.04625744932339913</v>
      </c>
      <c r="E129" s="259">
        <f>C:C</f>
        <v>59217230</v>
      </c>
      <c r="F129" s="260">
        <f>SUM(F118:F128)</f>
        <v>314716340</v>
      </c>
      <c r="G129" s="256">
        <f>(F129-E129)/E129</f>
        <v>4.314607589716709</v>
      </c>
      <c r="H129" s="263">
        <f>SUM(H118:H128)</f>
        <v>366201990</v>
      </c>
      <c r="I129" s="257">
        <f>SUM(I118:I128)</f>
        <v>373933570</v>
      </c>
      <c r="J129" s="256">
        <f t="shared" si="18"/>
        <v>0.021112883630151763</v>
      </c>
      <c r="K129" s="261">
        <f>SUM(K118:K128)</f>
        <v>0.9999999999999999</v>
      </c>
    </row>
    <row r="130" spans="1:10" ht="9.75">
      <c r="A130" s="113" t="str">
        <f>A16</f>
        <v>Less Minimum Value Loss</v>
      </c>
      <c r="G130" s="104"/>
      <c r="H130" s="108">
        <f>'2019 Certified Estimate'!H133</f>
        <v>0</v>
      </c>
      <c r="I130" s="120">
        <v>0</v>
      </c>
      <c r="J130" s="126">
        <v>0</v>
      </c>
    </row>
    <row r="131" spans="1:10" ht="9.75">
      <c r="A131" s="113" t="s">
        <v>174</v>
      </c>
      <c r="G131" s="104"/>
      <c r="H131" s="112">
        <v>-597250</v>
      </c>
      <c r="I131" s="112">
        <v>-464420</v>
      </c>
      <c r="J131" s="126">
        <f t="shared" si="18"/>
        <v>-0.22240267894516533</v>
      </c>
    </row>
    <row r="132" spans="1:10" ht="10.5" thickBot="1">
      <c r="A132" s="113" t="s">
        <v>49</v>
      </c>
      <c r="G132" s="104"/>
      <c r="H132" s="112">
        <v>-97355940</v>
      </c>
      <c r="I132" s="112">
        <v>-97331110</v>
      </c>
      <c r="J132" s="126">
        <f t="shared" si="18"/>
        <v>-0.00025504350325208713</v>
      </c>
    </row>
    <row r="133" spans="1:10" ht="10.5" thickBot="1">
      <c r="A133" s="250" t="s">
        <v>50</v>
      </c>
      <c r="B133" s="253"/>
      <c r="C133" s="260"/>
      <c r="D133" s="253"/>
      <c r="E133" s="253"/>
      <c r="F133" s="260"/>
      <c r="G133" s="253"/>
      <c r="H133" s="254">
        <f>SUM(H129:H132)</f>
        <v>268248800</v>
      </c>
      <c r="I133" s="257">
        <f>SUM(I129:I132)</f>
        <v>276138040</v>
      </c>
      <c r="J133" s="256">
        <f t="shared" si="18"/>
        <v>0.029410159523546798</v>
      </c>
    </row>
    <row r="134" spans="1:10" ht="9.75">
      <c r="A134" s="113" t="s">
        <v>127</v>
      </c>
      <c r="G134" s="104"/>
      <c r="H134" s="377">
        <v>-194510</v>
      </c>
      <c r="I134" s="112">
        <v>-206580</v>
      </c>
      <c r="J134" s="126">
        <f t="shared" si="18"/>
        <v>0.06205336486555961</v>
      </c>
    </row>
    <row r="135" spans="1:10" ht="9.75">
      <c r="A135" s="113" t="s">
        <v>78</v>
      </c>
      <c r="G135" s="104"/>
      <c r="H135" s="409">
        <v>0</v>
      </c>
      <c r="I135" s="112">
        <v>0</v>
      </c>
      <c r="J135" s="126">
        <v>0</v>
      </c>
    </row>
    <row r="136" spans="1:10" ht="9.75">
      <c r="A136" s="113" t="s">
        <v>128</v>
      </c>
      <c r="G136" s="104"/>
      <c r="H136" s="409">
        <v>0</v>
      </c>
      <c r="I136" s="112">
        <v>0</v>
      </c>
      <c r="J136" s="126">
        <v>0</v>
      </c>
    </row>
    <row r="137" spans="1:10" ht="9.75">
      <c r="A137" s="113" t="s">
        <v>157</v>
      </c>
      <c r="G137" s="104"/>
      <c r="H137" s="112">
        <v>-21740020</v>
      </c>
      <c r="I137" s="112">
        <v>-23913450</v>
      </c>
      <c r="J137" s="126">
        <f t="shared" si="18"/>
        <v>0.09997368907664299</v>
      </c>
    </row>
    <row r="138" spans="1:10" ht="9.75">
      <c r="A138" s="113" t="s">
        <v>53</v>
      </c>
      <c r="G138" s="104"/>
      <c r="H138" s="112">
        <v>-16359577</v>
      </c>
      <c r="I138" s="112">
        <v>-16180228</v>
      </c>
      <c r="J138" s="126">
        <f t="shared" si="18"/>
        <v>-0.01096293626662841</v>
      </c>
    </row>
    <row r="139" spans="1:10" ht="9.75">
      <c r="A139" s="113" t="s">
        <v>54</v>
      </c>
      <c r="G139" s="104"/>
      <c r="H139" s="112">
        <v>-2523029</v>
      </c>
      <c r="I139" s="112">
        <v>-2643763</v>
      </c>
      <c r="J139" s="126">
        <f t="shared" si="18"/>
        <v>0.04785279915530103</v>
      </c>
    </row>
    <row r="140" spans="1:10" ht="9.75">
      <c r="A140" s="113" t="s">
        <v>55</v>
      </c>
      <c r="G140" s="104"/>
      <c r="H140" s="112">
        <v>-418840</v>
      </c>
      <c r="I140" s="112">
        <v>-395488</v>
      </c>
      <c r="J140" s="126">
        <f t="shared" si="18"/>
        <v>-0.05575398720275045</v>
      </c>
    </row>
    <row r="141" spans="1:10" ht="9.75">
      <c r="A141" s="113" t="s">
        <v>56</v>
      </c>
      <c r="G141" s="104"/>
      <c r="H141" s="112">
        <v>-1297209</v>
      </c>
      <c r="I141" s="112">
        <v>-1047236</v>
      </c>
      <c r="J141" s="126">
        <f t="shared" si="18"/>
        <v>-0.1927006365204065</v>
      </c>
    </row>
    <row r="142" spans="1:10" ht="9.75">
      <c r="A142" s="113" t="s">
        <v>57</v>
      </c>
      <c r="G142" s="104"/>
      <c r="H142" s="112">
        <v>-14680187</v>
      </c>
      <c r="I142" s="112">
        <v>-14727638</v>
      </c>
      <c r="J142" s="126">
        <f t="shared" si="18"/>
        <v>0.0032323157736342187</v>
      </c>
    </row>
    <row r="143" spans="1:10" ht="9.75">
      <c r="A143" s="113" t="s">
        <v>58</v>
      </c>
      <c r="G143" s="104"/>
      <c r="H143" s="409">
        <v>0</v>
      </c>
      <c r="I143" s="112">
        <v>0</v>
      </c>
      <c r="J143" s="117">
        <v>0</v>
      </c>
    </row>
    <row r="144" spans="1:10" ht="10.5" thickBot="1">
      <c r="A144" s="113" t="s">
        <v>59</v>
      </c>
      <c r="G144" s="104"/>
      <c r="H144" s="409">
        <v>0</v>
      </c>
      <c r="I144" s="112">
        <v>0</v>
      </c>
      <c r="J144" s="117">
        <v>0</v>
      </c>
    </row>
    <row r="145" spans="1:10" ht="10.5" thickBot="1">
      <c r="A145" s="250" t="s">
        <v>60</v>
      </c>
      <c r="B145" s="253"/>
      <c r="C145" s="260"/>
      <c r="D145" s="253"/>
      <c r="E145" s="253"/>
      <c r="F145" s="260"/>
      <c r="G145" s="253"/>
      <c r="H145" s="254">
        <f>SUM(H133:H144)</f>
        <v>211035428</v>
      </c>
      <c r="I145" s="257">
        <f>SUM(I133:I144)</f>
        <v>217023657</v>
      </c>
      <c r="J145" s="256">
        <f>(I145-H145)/H145</f>
        <v>0.028375467838509087</v>
      </c>
    </row>
    <row r="146" spans="1:10" ht="9.75">
      <c r="A146" s="121" t="s">
        <v>61</v>
      </c>
      <c r="D146" s="104"/>
      <c r="E146" s="112">
        <v>17359675</v>
      </c>
      <c r="F146" s="112">
        <v>19506184</v>
      </c>
      <c r="G146" s="123">
        <f>(F146-E146)/E146</f>
        <v>0.1236491466574115</v>
      </c>
      <c r="H146" s="124"/>
      <c r="I146" s="125"/>
      <c r="J146" s="115"/>
    </row>
    <row r="147" spans="1:11" ht="9.75">
      <c r="A147" s="121" t="s">
        <v>19</v>
      </c>
      <c r="D147" s="104"/>
      <c r="E147" s="112">
        <v>136863.86</v>
      </c>
      <c r="F147" s="112">
        <v>157073.53</v>
      </c>
      <c r="G147" s="123">
        <f>(F147-E147)/E147</f>
        <v>0.14766257505816374</v>
      </c>
      <c r="H147" s="124"/>
      <c r="I147" s="125"/>
      <c r="J147" s="115"/>
      <c r="K147" s="130"/>
    </row>
    <row r="148" spans="1:10" ht="9.75">
      <c r="A148" s="121" t="str">
        <f>A110</f>
        <v>2019 Adopted/2019 Revenue Neutral Tax Rate</v>
      </c>
      <c r="D148" s="104"/>
      <c r="E148" s="281">
        <v>1.04</v>
      </c>
      <c r="F148" s="138">
        <v>0.965</v>
      </c>
      <c r="G148" s="123">
        <f>(F148-E148)/E148</f>
        <v>-0.07211538461538468</v>
      </c>
      <c r="H148" s="119"/>
      <c r="I148" s="125"/>
      <c r="J148" s="115"/>
    </row>
    <row r="149" spans="1:10" ht="9.75">
      <c r="A149" s="121" t="s">
        <v>62</v>
      </c>
      <c r="B149" s="104"/>
      <c r="C149" s="108"/>
      <c r="D149" s="104"/>
      <c r="E149" s="104"/>
      <c r="F149" s="108"/>
      <c r="G149" s="104"/>
      <c r="H149" s="125">
        <v>2062679</v>
      </c>
      <c r="I149" s="125">
        <f>(I145-F146)*F148/100+F147</f>
        <v>2063117.14445</v>
      </c>
      <c r="J149" s="123">
        <f>(I149-H149)/H149</f>
        <v>0.00021241523765938453</v>
      </c>
    </row>
    <row r="150" spans="1:10" ht="9.75">
      <c r="A150" s="121" t="s">
        <v>18</v>
      </c>
      <c r="G150" s="104"/>
      <c r="H150" s="120">
        <v>1466794</v>
      </c>
      <c r="I150" s="112">
        <v>2849604</v>
      </c>
      <c r="J150" s="123">
        <f>(I150-H150)/H150</f>
        <v>0.9427431527535564</v>
      </c>
    </row>
    <row r="151" spans="1:10" ht="9.75">
      <c r="A151" s="121" t="s">
        <v>17</v>
      </c>
      <c r="G151" s="104"/>
      <c r="H151" s="120">
        <v>12570</v>
      </c>
      <c r="I151" s="112">
        <v>12322</v>
      </c>
      <c r="J151" s="123">
        <f>(I151-H151)/H151</f>
        <v>-0.019729514717581543</v>
      </c>
    </row>
    <row r="152" spans="1:10" s="136" customFormat="1" ht="10.5" thickBot="1">
      <c r="A152" s="132"/>
      <c r="C152" s="140"/>
      <c r="F152" s="140"/>
      <c r="H152" s="142"/>
      <c r="I152" s="142"/>
      <c r="J152" s="135"/>
    </row>
    <row r="153" spans="1:11" ht="10.5" thickBot="1">
      <c r="A153" s="369" t="s">
        <v>4</v>
      </c>
      <c r="B153" s="95" t="s">
        <v>32</v>
      </c>
      <c r="C153" s="372"/>
      <c r="D153" s="97"/>
      <c r="E153" s="98" t="s">
        <v>33</v>
      </c>
      <c r="F153" s="372"/>
      <c r="G153" s="97"/>
      <c r="H153" s="95" t="s">
        <v>34</v>
      </c>
      <c r="I153" s="372"/>
      <c r="J153" s="97"/>
      <c r="K153" s="99"/>
    </row>
    <row r="154" spans="1:11" ht="9.75">
      <c r="A154" s="99" t="s">
        <v>35</v>
      </c>
      <c r="B154" s="286" t="s">
        <v>200</v>
      </c>
      <c r="C154" s="308" t="s">
        <v>202</v>
      </c>
      <c r="D154" s="100" t="s">
        <v>67</v>
      </c>
      <c r="E154" s="286" t="str">
        <f>B154</f>
        <v>2018 Certified</v>
      </c>
      <c r="F154" s="308" t="s">
        <v>202</v>
      </c>
      <c r="G154" s="100" t="s">
        <v>67</v>
      </c>
      <c r="H154" s="101" t="str">
        <f>B154</f>
        <v>2018 Certified</v>
      </c>
      <c r="I154" s="384" t="s">
        <v>204</v>
      </c>
      <c r="J154" s="100" t="s">
        <v>67</v>
      </c>
      <c r="K154" s="207" t="s">
        <v>71</v>
      </c>
    </row>
    <row r="155" spans="1:11" ht="9.75">
      <c r="A155" s="106"/>
      <c r="B155" s="104"/>
      <c r="C155" s="108"/>
      <c r="D155" s="105"/>
      <c r="E155" s="104"/>
      <c r="F155" s="108"/>
      <c r="G155" s="105"/>
      <c r="H155" s="103"/>
      <c r="I155" s="108"/>
      <c r="J155" s="105"/>
      <c r="K155" s="106"/>
    </row>
    <row r="156" spans="1:11" ht="9.75">
      <c r="A156" s="106" t="s">
        <v>36</v>
      </c>
      <c r="B156" s="108">
        <v>0</v>
      </c>
      <c r="C156" s="108">
        <v>0</v>
      </c>
      <c r="D156" s="105"/>
      <c r="E156" s="112">
        <v>760254540</v>
      </c>
      <c r="F156" s="112">
        <v>770527540</v>
      </c>
      <c r="G156" s="110">
        <f>(F156-E156)/E156</f>
        <v>0.013512579615769214</v>
      </c>
      <c r="H156" s="108">
        <f>B156+E156</f>
        <v>760254540</v>
      </c>
      <c r="I156" s="112">
        <f>C156+F156</f>
        <v>770527540</v>
      </c>
      <c r="J156" s="110">
        <f aca="true" t="shared" si="19" ref="J156:J166">(I156-H156)/H156</f>
        <v>0.013512579615769214</v>
      </c>
      <c r="K156" s="111">
        <f>I156/I167</f>
        <v>0.20473985177630252</v>
      </c>
    </row>
    <row r="157" spans="1:11" ht="9.75">
      <c r="A157" s="106" t="s">
        <v>37</v>
      </c>
      <c r="B157" s="108">
        <v>0</v>
      </c>
      <c r="C157" s="108">
        <v>0</v>
      </c>
      <c r="D157" s="105"/>
      <c r="E157" s="112">
        <v>45917810</v>
      </c>
      <c r="F157" s="112">
        <v>52449870</v>
      </c>
      <c r="G157" s="110">
        <f aca="true" t="shared" si="20" ref="G157:G166">(F157-E157)/E157</f>
        <v>0.14225547777648803</v>
      </c>
      <c r="H157" s="108">
        <f aca="true" t="shared" si="21" ref="H157:H166">B157+E157</f>
        <v>45917810</v>
      </c>
      <c r="I157" s="112">
        <f aca="true" t="shared" si="22" ref="I157:I166">C157+F157</f>
        <v>52449870</v>
      </c>
      <c r="J157" s="110">
        <f t="shared" si="19"/>
        <v>0.14225547777648803</v>
      </c>
      <c r="K157" s="111">
        <f>I157/I167</f>
        <v>0.013936657746829317</v>
      </c>
    </row>
    <row r="158" spans="1:11" ht="9.75">
      <c r="A158" s="106" t="s">
        <v>38</v>
      </c>
      <c r="B158" s="108">
        <v>0</v>
      </c>
      <c r="C158" s="108">
        <v>0</v>
      </c>
      <c r="D158" s="105"/>
      <c r="E158" s="112">
        <v>24575860</v>
      </c>
      <c r="F158" s="112">
        <v>24298060</v>
      </c>
      <c r="G158" s="110">
        <f t="shared" si="20"/>
        <v>-0.011303775330751395</v>
      </c>
      <c r="H158" s="108">
        <f t="shared" si="21"/>
        <v>24575860</v>
      </c>
      <c r="I158" s="112">
        <f t="shared" si="22"/>
        <v>24298060</v>
      </c>
      <c r="J158" s="110">
        <f t="shared" si="19"/>
        <v>-0.011303775330751395</v>
      </c>
      <c r="K158" s="111">
        <f>I158/I167</f>
        <v>0.006456331467207136</v>
      </c>
    </row>
    <row r="159" spans="1:11" ht="9.75">
      <c r="A159" s="106" t="s">
        <v>39</v>
      </c>
      <c r="B159" s="108">
        <v>0</v>
      </c>
      <c r="C159" s="108">
        <v>0</v>
      </c>
      <c r="D159" s="105"/>
      <c r="E159" s="112">
        <v>700742660</v>
      </c>
      <c r="F159" s="112">
        <v>717952060</v>
      </c>
      <c r="G159" s="110">
        <f t="shared" si="20"/>
        <v>0.02455880165765846</v>
      </c>
      <c r="H159" s="108">
        <f t="shared" si="21"/>
        <v>700742660</v>
      </c>
      <c r="I159" s="112">
        <f t="shared" si="22"/>
        <v>717952060</v>
      </c>
      <c r="J159" s="110">
        <f t="shared" si="19"/>
        <v>0.02455880165765846</v>
      </c>
      <c r="K159" s="111">
        <f>I159/I167</f>
        <v>0.190769817710722</v>
      </c>
    </row>
    <row r="160" spans="1:11" ht="9.75">
      <c r="A160" s="106" t="s">
        <v>40</v>
      </c>
      <c r="B160" s="108">
        <v>306027940</v>
      </c>
      <c r="C160" s="108">
        <v>313432030</v>
      </c>
      <c r="D160" s="110">
        <f>(C160-B160)/B160</f>
        <v>0.024194163447951843</v>
      </c>
      <c r="E160" s="112">
        <v>255640678</v>
      </c>
      <c r="F160" s="112">
        <v>273261520</v>
      </c>
      <c r="G160" s="110">
        <f t="shared" si="20"/>
        <v>0.06892816173801573</v>
      </c>
      <c r="H160" s="108">
        <f t="shared" si="21"/>
        <v>561668618</v>
      </c>
      <c r="I160" s="112">
        <f t="shared" si="22"/>
        <v>586693550</v>
      </c>
      <c r="J160" s="110">
        <f t="shared" si="19"/>
        <v>0.04455462028323612</v>
      </c>
      <c r="K160" s="111">
        <f>I160/I167</f>
        <v>0.15589261152834683</v>
      </c>
    </row>
    <row r="161" spans="1:11" ht="9.75">
      <c r="A161" s="106" t="s">
        <v>41</v>
      </c>
      <c r="B161" s="108">
        <v>218725060</v>
      </c>
      <c r="C161" s="108">
        <v>251446710</v>
      </c>
      <c r="D161" s="110">
        <f>(C161-B161)/B161</f>
        <v>0.14960174202261048</v>
      </c>
      <c r="E161" s="112">
        <v>0</v>
      </c>
      <c r="F161" s="112">
        <v>0</v>
      </c>
      <c r="G161" s="110">
        <v>0</v>
      </c>
      <c r="H161" s="108">
        <f t="shared" si="21"/>
        <v>218725060</v>
      </c>
      <c r="I161" s="112">
        <f t="shared" si="22"/>
        <v>251446710</v>
      </c>
      <c r="J161" s="110">
        <f t="shared" si="19"/>
        <v>0.14960174202261048</v>
      </c>
      <c r="K161" s="111">
        <f>I161/I167</f>
        <v>0.06681287749304707</v>
      </c>
    </row>
    <row r="162" spans="1:11" ht="9.75">
      <c r="A162" s="106" t="s">
        <v>42</v>
      </c>
      <c r="B162" s="108">
        <v>179743310</v>
      </c>
      <c r="C162" s="108">
        <v>210191000</v>
      </c>
      <c r="D162" s="110">
        <f>(C162-B162)/B162</f>
        <v>0.16939540058542374</v>
      </c>
      <c r="E162" s="112">
        <v>8816820</v>
      </c>
      <c r="F162" s="112">
        <v>8462370</v>
      </c>
      <c r="G162" s="110">
        <f t="shared" si="20"/>
        <v>-0.0402015692732754</v>
      </c>
      <c r="H162" s="108">
        <f t="shared" si="21"/>
        <v>188560130</v>
      </c>
      <c r="I162" s="112">
        <f t="shared" si="22"/>
        <v>218653370</v>
      </c>
      <c r="J162" s="110">
        <f t="shared" si="19"/>
        <v>0.1595949260323484</v>
      </c>
      <c r="K162" s="111">
        <f>I162/I167</f>
        <v>0.058099232331383026</v>
      </c>
    </row>
    <row r="163" spans="1:11" ht="9.75">
      <c r="A163" s="106" t="s">
        <v>43</v>
      </c>
      <c r="B163" s="108">
        <v>559089440</v>
      </c>
      <c r="C163" s="108">
        <v>629570780</v>
      </c>
      <c r="D163" s="110">
        <f>(C163-B163)/B163</f>
        <v>0.1260645166183071</v>
      </c>
      <c r="E163" s="112">
        <v>142023610</v>
      </c>
      <c r="F163" s="112">
        <v>133288440</v>
      </c>
      <c r="G163" s="110">
        <f t="shared" si="20"/>
        <v>-0.06150505539184647</v>
      </c>
      <c r="H163" s="108">
        <f t="shared" si="21"/>
        <v>701113050</v>
      </c>
      <c r="I163" s="112">
        <f t="shared" si="22"/>
        <v>762859220</v>
      </c>
      <c r="J163" s="110">
        <f t="shared" si="19"/>
        <v>0.08806877863705433</v>
      </c>
      <c r="K163" s="111">
        <f>I163/I167</f>
        <v>0.2027022728207557</v>
      </c>
    </row>
    <row r="164" spans="1:11" ht="9.75">
      <c r="A164" s="106" t="s">
        <v>44</v>
      </c>
      <c r="B164" s="108">
        <v>0</v>
      </c>
      <c r="C164" s="108">
        <v>0</v>
      </c>
      <c r="D164" s="110"/>
      <c r="E164" s="112">
        <v>17592480</v>
      </c>
      <c r="F164" s="112">
        <v>17986310</v>
      </c>
      <c r="G164" s="110">
        <f t="shared" si="20"/>
        <v>0.022386269587914835</v>
      </c>
      <c r="H164" s="108">
        <f t="shared" si="21"/>
        <v>17592480</v>
      </c>
      <c r="I164" s="112">
        <f t="shared" si="22"/>
        <v>17986310</v>
      </c>
      <c r="J164" s="110">
        <f t="shared" si="19"/>
        <v>0.022386269587914835</v>
      </c>
      <c r="K164" s="111">
        <f>I164/I167</f>
        <v>0.004779211971323734</v>
      </c>
    </row>
    <row r="165" spans="1:11" ht="9.75">
      <c r="A165" s="106" t="s">
        <v>45</v>
      </c>
      <c r="B165" s="108">
        <v>0</v>
      </c>
      <c r="C165" s="108">
        <v>0</v>
      </c>
      <c r="D165" s="110"/>
      <c r="E165" s="112">
        <v>11275070</v>
      </c>
      <c r="F165" s="112">
        <v>12795410</v>
      </c>
      <c r="G165" s="110">
        <f t="shared" si="20"/>
        <v>0.13484084799473528</v>
      </c>
      <c r="H165" s="108">
        <f t="shared" si="21"/>
        <v>11275070</v>
      </c>
      <c r="I165" s="112">
        <f t="shared" si="22"/>
        <v>12795410</v>
      </c>
      <c r="J165" s="110">
        <f t="shared" si="19"/>
        <v>0.13484084799473528</v>
      </c>
      <c r="K165" s="111">
        <f>I165/I167</f>
        <v>0.0033999178625296364</v>
      </c>
    </row>
    <row r="166" spans="1:11" ht="10.5" thickBot="1">
      <c r="A166" s="284" t="s">
        <v>46</v>
      </c>
      <c r="B166" s="277">
        <v>0</v>
      </c>
      <c r="C166" s="277">
        <v>0</v>
      </c>
      <c r="D166" s="278"/>
      <c r="E166" s="112">
        <v>237263920</v>
      </c>
      <c r="F166" s="112">
        <v>347784700</v>
      </c>
      <c r="G166" s="110">
        <f t="shared" si="20"/>
        <v>0.4658136812373327</v>
      </c>
      <c r="H166" s="108">
        <f t="shared" si="21"/>
        <v>237263920</v>
      </c>
      <c r="I166" s="108">
        <f t="shared" si="22"/>
        <v>347784700</v>
      </c>
      <c r="J166" s="110">
        <f t="shared" si="19"/>
        <v>0.4658136812373327</v>
      </c>
      <c r="K166" s="111">
        <f>I166/I167</f>
        <v>0.09241121729155305</v>
      </c>
    </row>
    <row r="167" spans="1:11" ht="10.5" thickBot="1">
      <c r="A167" s="250" t="s">
        <v>47</v>
      </c>
      <c r="B167" s="276">
        <f>SUM(B156:B166)</f>
        <v>1263585750</v>
      </c>
      <c r="C167" s="277">
        <f>SUM(C156:C166)</f>
        <v>1404640520</v>
      </c>
      <c r="D167" s="278">
        <f>(C167-B167)/B167</f>
        <v>0.11163054822357722</v>
      </c>
      <c r="E167" s="259">
        <f>SUM(E156:E166)</f>
        <v>2204103448</v>
      </c>
      <c r="F167" s="260">
        <f>SUM(F156:F166)</f>
        <v>2358806280</v>
      </c>
      <c r="G167" s="256">
        <f>(F167-E167)/E167</f>
        <v>0.07018855314634942</v>
      </c>
      <c r="H167" s="263">
        <f>SUM(B167+E167)</f>
        <v>3467689198</v>
      </c>
      <c r="I167" s="257">
        <f>SUM(I156:I166)</f>
        <v>3763446800</v>
      </c>
      <c r="J167" s="256">
        <f>(I167-H167)/H167</f>
        <v>0.08528953580112632</v>
      </c>
      <c r="K167" s="261">
        <v>1</v>
      </c>
    </row>
    <row r="168" spans="1:10" ht="9.75">
      <c r="A168" s="113" t="str">
        <f>A16</f>
        <v>Less Minimum Value Loss</v>
      </c>
      <c r="G168" s="104"/>
      <c r="H168" s="108">
        <f>'2019 Certified Estimate'!H172</f>
        <v>0</v>
      </c>
      <c r="I168" s="118">
        <v>0</v>
      </c>
      <c r="J168" s="117">
        <v>0</v>
      </c>
    </row>
    <row r="169" spans="1:10" ht="9.75">
      <c r="A169" s="113" t="s">
        <v>174</v>
      </c>
      <c r="G169" s="104"/>
      <c r="H169" s="112">
        <v>-3216321</v>
      </c>
      <c r="I169" s="112">
        <v>-2583907</v>
      </c>
      <c r="J169" s="117">
        <f>(I169-H169)/H169</f>
        <v>-0.1966265183108278</v>
      </c>
    </row>
    <row r="170" spans="1:10" ht="9.75">
      <c r="A170" s="113" t="s">
        <v>49</v>
      </c>
      <c r="G170" s="104"/>
      <c r="H170" s="112">
        <v>-218519650</v>
      </c>
      <c r="I170" s="112">
        <v>-225388120</v>
      </c>
      <c r="J170" s="117">
        <f>(I170-H170)/H170</f>
        <v>0.031431818603040965</v>
      </c>
    </row>
    <row r="171" spans="1:10" ht="10.5" thickBot="1">
      <c r="A171" s="364" t="s">
        <v>50</v>
      </c>
      <c r="B171" s="365"/>
      <c r="C171" s="296"/>
      <c r="D171" s="365"/>
      <c r="E171" s="365"/>
      <c r="F171" s="296"/>
      <c r="G171" s="365"/>
      <c r="H171" s="310">
        <f>SUM(H167:H170)</f>
        <v>3245953227</v>
      </c>
      <c r="I171" s="315">
        <f>SUM(I167:I170)</f>
        <v>3535474773</v>
      </c>
      <c r="J171" s="297">
        <f>(I171-H171)/H171</f>
        <v>0.0891946142636146</v>
      </c>
    </row>
    <row r="172" spans="1:10" ht="10.5" thickBot="1">
      <c r="A172" s="113" t="s">
        <v>127</v>
      </c>
      <c r="G172" s="104"/>
      <c r="H172" s="112">
        <v>-1284264</v>
      </c>
      <c r="I172" s="112">
        <v>-1725989</v>
      </c>
      <c r="J172" s="117">
        <f aca="true" t="shared" si="23" ref="J172:J180">(I172-H172)/H172</f>
        <v>0.3439518665944074</v>
      </c>
    </row>
    <row r="173" spans="1:14" ht="10.5" thickBot="1">
      <c r="A173" s="113" t="s">
        <v>78</v>
      </c>
      <c r="G173" s="104"/>
      <c r="H173" s="112">
        <v>-164314464</v>
      </c>
      <c r="I173" s="112">
        <v>-152591582</v>
      </c>
      <c r="J173" s="117">
        <f t="shared" si="23"/>
        <v>-0.07134418793466654</v>
      </c>
      <c r="N173" s="256"/>
    </row>
    <row r="174" spans="1:10" ht="9.75">
      <c r="A174" s="113" t="s">
        <v>128</v>
      </c>
      <c r="E174" s="144"/>
      <c r="F174" s="118"/>
      <c r="G174" s="247"/>
      <c r="H174" s="112">
        <v>0</v>
      </c>
      <c r="I174" s="112">
        <v>0</v>
      </c>
      <c r="J174" s="117">
        <v>0</v>
      </c>
    </row>
    <row r="175" spans="1:10" ht="9.75">
      <c r="A175" s="113" t="s">
        <v>157</v>
      </c>
      <c r="G175" s="104"/>
      <c r="H175" s="112">
        <v>-253235238</v>
      </c>
      <c r="I175" s="112">
        <v>-371961750</v>
      </c>
      <c r="J175" s="117">
        <f t="shared" si="23"/>
        <v>0.4688388272409387</v>
      </c>
    </row>
    <row r="176" spans="1:10" ht="9.75">
      <c r="A176" s="113" t="s">
        <v>53</v>
      </c>
      <c r="G176" s="104"/>
      <c r="H176" s="112">
        <v>-166711509</v>
      </c>
      <c r="I176" s="112">
        <v>-166791486</v>
      </c>
      <c r="J176" s="117">
        <f t="shared" si="23"/>
        <v>0.00047973292593734483</v>
      </c>
    </row>
    <row r="177" spans="1:10" ht="9.75">
      <c r="A177" s="113" t="s">
        <v>54</v>
      </c>
      <c r="G177" s="104"/>
      <c r="H177" s="112">
        <v>-24248416</v>
      </c>
      <c r="I177" s="112">
        <v>-24527756</v>
      </c>
      <c r="J177" s="117">
        <f t="shared" si="23"/>
        <v>0.0115199277346611</v>
      </c>
    </row>
    <row r="178" spans="1:10" ht="9.75">
      <c r="A178" s="113" t="s">
        <v>55</v>
      </c>
      <c r="G178" s="104"/>
      <c r="H178" s="112">
        <v>-2384458</v>
      </c>
      <c r="I178" s="112">
        <v>-2427938</v>
      </c>
      <c r="J178" s="117">
        <f t="shared" si="23"/>
        <v>0.018234751880720903</v>
      </c>
    </row>
    <row r="179" spans="1:10" ht="9.75">
      <c r="A179" s="113" t="s">
        <v>56</v>
      </c>
      <c r="G179" s="104"/>
      <c r="H179" s="112">
        <v>-12336799</v>
      </c>
      <c r="I179" s="112">
        <v>-13555081</v>
      </c>
      <c r="J179" s="117">
        <f t="shared" si="23"/>
        <v>0.09875187234549254</v>
      </c>
    </row>
    <row r="180" spans="1:10" ht="9.75">
      <c r="A180" s="113" t="s">
        <v>57</v>
      </c>
      <c r="G180" s="104"/>
      <c r="H180" s="112">
        <v>-160090770</v>
      </c>
      <c r="I180" s="112">
        <v>-163090207</v>
      </c>
      <c r="J180" s="117">
        <f t="shared" si="23"/>
        <v>0.018735852166867583</v>
      </c>
    </row>
    <row r="181" spans="1:10" ht="9.75">
      <c r="A181" s="113" t="s">
        <v>58</v>
      </c>
      <c r="G181" s="104"/>
      <c r="H181" s="112">
        <v>0</v>
      </c>
      <c r="I181" s="112">
        <v>0</v>
      </c>
      <c r="J181" s="117">
        <v>0</v>
      </c>
    </row>
    <row r="182" spans="1:10" ht="10.5" thickBot="1">
      <c r="A182" s="113" t="s">
        <v>59</v>
      </c>
      <c r="G182" s="104"/>
      <c r="H182" s="109">
        <v>0</v>
      </c>
      <c r="I182" s="109">
        <v>0</v>
      </c>
      <c r="J182" s="117">
        <v>0</v>
      </c>
    </row>
    <row r="183" spans="1:10" ht="10.5" thickBot="1">
      <c r="A183" s="250" t="s">
        <v>60</v>
      </c>
      <c r="B183" s="253"/>
      <c r="C183" s="260"/>
      <c r="D183" s="253"/>
      <c r="E183" s="253"/>
      <c r="F183" s="260"/>
      <c r="G183" s="253"/>
      <c r="H183" s="254">
        <f>SUM(H171:H182)</f>
        <v>2461347309</v>
      </c>
      <c r="I183" s="257">
        <f>SUM(I171+I172+I173+I174+I175+I176+I177+I178+I179+I180+I181+I182)</f>
        <v>2638802984</v>
      </c>
      <c r="J183" s="256">
        <f>(I183-H183)/H183</f>
        <v>0.0720969667105196</v>
      </c>
    </row>
    <row r="184" spans="1:9" ht="9.75">
      <c r="A184" s="121" t="s">
        <v>61</v>
      </c>
      <c r="D184" s="104"/>
      <c r="E184" s="118">
        <v>166948871</v>
      </c>
      <c r="F184" s="118">
        <v>17708097</v>
      </c>
      <c r="G184" s="123">
        <f>(F184-E184)/E184</f>
        <v>-0.8939310167602151</v>
      </c>
      <c r="H184" s="124"/>
      <c r="I184" s="125"/>
    </row>
    <row r="185" spans="1:11" ht="9.75">
      <c r="A185" s="121" t="s">
        <v>19</v>
      </c>
      <c r="D185" s="104"/>
      <c r="E185" s="137">
        <v>1423202.19</v>
      </c>
      <c r="F185" s="137">
        <v>1589606.87</v>
      </c>
      <c r="G185" s="123">
        <f>(F185-E185)/E185</f>
        <v>0.11692272620800294</v>
      </c>
      <c r="H185" s="124"/>
      <c r="I185" s="125"/>
      <c r="K185" s="130"/>
    </row>
    <row r="186" spans="1:9" ht="9.75">
      <c r="A186" s="121" t="str">
        <f>A148</f>
        <v>2019 Adopted/2019 Revenue Neutral Tax Rate</v>
      </c>
      <c r="D186" s="104"/>
      <c r="E186" s="141">
        <v>1.33</v>
      </c>
      <c r="F186" s="141">
        <v>1.12</v>
      </c>
      <c r="G186" s="123">
        <f>(F186-E186)/E186</f>
        <v>-0.15789473684210523</v>
      </c>
      <c r="H186" s="112"/>
      <c r="I186" s="108"/>
    </row>
    <row r="187" spans="1:10" ht="9.75">
      <c r="A187" s="121" t="s">
        <v>62</v>
      </c>
      <c r="B187" s="104"/>
      <c r="C187" s="108"/>
      <c r="D187" s="104"/>
      <c r="E187" s="104"/>
      <c r="F187" s="108"/>
      <c r="G187" s="104"/>
      <c r="H187" s="213">
        <v>30954175</v>
      </c>
      <c r="I187" s="318">
        <f>(I183-F184)*F186/100+F185</f>
        <v>30945869.6044</v>
      </c>
      <c r="J187" s="123">
        <f>(I187-H187)/H187</f>
        <v>-0.00026831261372653394</v>
      </c>
    </row>
    <row r="188" spans="1:10" ht="9.75">
      <c r="A188" s="121" t="s">
        <v>18</v>
      </c>
      <c r="G188" s="104"/>
      <c r="H188" s="118">
        <v>12249506</v>
      </c>
      <c r="I188" s="118">
        <v>57117071</v>
      </c>
      <c r="J188" s="123">
        <f>(I188-H188)/H188</f>
        <v>3.6628060756082736</v>
      </c>
    </row>
    <row r="189" spans="1:10" ht="9.75">
      <c r="A189" s="121" t="s">
        <v>17</v>
      </c>
      <c r="G189" s="104"/>
      <c r="H189" s="118">
        <v>104706</v>
      </c>
      <c r="I189" s="118">
        <v>105850</v>
      </c>
      <c r="J189" s="123">
        <f>(I189-H189)/H189</f>
        <v>0.010925830420415257</v>
      </c>
    </row>
    <row r="190" spans="1:10" s="136" customFormat="1" ht="10.5" thickBot="1">
      <c r="A190" s="132"/>
      <c r="C190" s="140"/>
      <c r="F190" s="140"/>
      <c r="H190" s="140"/>
      <c r="I190" s="140"/>
      <c r="J190" s="135"/>
    </row>
    <row r="191" spans="1:11" s="144" customFormat="1" ht="10.5" thickBot="1">
      <c r="A191" s="369" t="s">
        <v>110</v>
      </c>
      <c r="B191" s="95" t="s">
        <v>32</v>
      </c>
      <c r="C191" s="372"/>
      <c r="D191" s="97"/>
      <c r="E191" s="95" t="s">
        <v>33</v>
      </c>
      <c r="F191" s="372"/>
      <c r="G191" s="97"/>
      <c r="H191" s="95" t="s">
        <v>34</v>
      </c>
      <c r="I191" s="372"/>
      <c r="J191" s="97"/>
      <c r="K191" s="99"/>
    </row>
    <row r="192" spans="1:11" ht="9.75">
      <c r="A192" s="99" t="s">
        <v>35</v>
      </c>
      <c r="B192" s="286" t="s">
        <v>200</v>
      </c>
      <c r="C192" s="308" t="s">
        <v>202</v>
      </c>
      <c r="D192" s="100" t="s">
        <v>67</v>
      </c>
      <c r="E192" s="285" t="str">
        <f>B192</f>
        <v>2018 Certified</v>
      </c>
      <c r="F192" s="308" t="s">
        <v>202</v>
      </c>
      <c r="G192" s="100" t="s">
        <v>67</v>
      </c>
      <c r="H192" s="101" t="str">
        <f>B192</f>
        <v>2018 Certified</v>
      </c>
      <c r="I192" s="384" t="s">
        <v>204</v>
      </c>
      <c r="J192" s="100" t="s">
        <v>67</v>
      </c>
      <c r="K192" s="207" t="s">
        <v>71</v>
      </c>
    </row>
    <row r="193" spans="1:11" s="144" customFormat="1" ht="9.75">
      <c r="A193" s="106"/>
      <c r="B193" s="104"/>
      <c r="C193" s="108"/>
      <c r="D193" s="105"/>
      <c r="E193" s="103"/>
      <c r="F193" s="108"/>
      <c r="G193" s="105"/>
      <c r="H193" s="103"/>
      <c r="I193" s="108"/>
      <c r="J193" s="105"/>
      <c r="K193" s="106"/>
    </row>
    <row r="194" spans="1:11" s="144" customFormat="1" ht="9.75">
      <c r="A194" s="106" t="s">
        <v>36</v>
      </c>
      <c r="B194" s="108">
        <v>0</v>
      </c>
      <c r="C194" s="108">
        <v>0</v>
      </c>
      <c r="D194" s="105"/>
      <c r="E194" s="108">
        <f>'2019 Certified Estimate'!E199</f>
        <v>0</v>
      </c>
      <c r="F194" s="109">
        <v>0</v>
      </c>
      <c r="G194" s="110">
        <v>0</v>
      </c>
      <c r="H194" s="107">
        <f aca="true" t="shared" si="24" ref="H194:I204">B194+E194</f>
        <v>0</v>
      </c>
      <c r="I194" s="108">
        <f t="shared" si="24"/>
        <v>0</v>
      </c>
      <c r="J194" s="110">
        <v>0</v>
      </c>
      <c r="K194" s="111">
        <f>I194/I205</f>
        <v>0</v>
      </c>
    </row>
    <row r="195" spans="1:11" s="144" customFormat="1" ht="9.75">
      <c r="A195" s="106" t="s">
        <v>37</v>
      </c>
      <c r="B195" s="108">
        <v>0</v>
      </c>
      <c r="C195" s="108">
        <v>0</v>
      </c>
      <c r="D195" s="105"/>
      <c r="E195" s="108">
        <f>'2019 Certified Estimate'!E200</f>
        <v>0</v>
      </c>
      <c r="F195" s="109">
        <v>0</v>
      </c>
      <c r="G195" s="110">
        <v>0</v>
      </c>
      <c r="H195" s="107">
        <f t="shared" si="24"/>
        <v>0</v>
      </c>
      <c r="I195" s="108">
        <f t="shared" si="24"/>
        <v>0</v>
      </c>
      <c r="J195" s="110">
        <v>0</v>
      </c>
      <c r="K195" s="111">
        <f>I195/I205</f>
        <v>0</v>
      </c>
    </row>
    <row r="196" spans="1:11" s="144" customFormat="1" ht="9.75">
      <c r="A196" s="106" t="s">
        <v>38</v>
      </c>
      <c r="B196" s="108">
        <v>0</v>
      </c>
      <c r="C196" s="108">
        <v>0</v>
      </c>
      <c r="D196" s="105"/>
      <c r="E196" s="108">
        <f>'2019 Certified Estimate'!E201</f>
        <v>0</v>
      </c>
      <c r="F196" s="109">
        <v>0</v>
      </c>
      <c r="G196" s="110">
        <v>0</v>
      </c>
      <c r="H196" s="107">
        <f t="shared" si="24"/>
        <v>0</v>
      </c>
      <c r="I196" s="108">
        <f t="shared" si="24"/>
        <v>0</v>
      </c>
      <c r="J196" s="110">
        <v>0</v>
      </c>
      <c r="K196" s="111">
        <f>I196/I205</f>
        <v>0</v>
      </c>
    </row>
    <row r="197" spans="1:11" s="144" customFormat="1" ht="9.75">
      <c r="A197" s="106" t="s">
        <v>39</v>
      </c>
      <c r="B197" s="108">
        <v>0</v>
      </c>
      <c r="C197" s="108">
        <v>0</v>
      </c>
      <c r="D197" s="105"/>
      <c r="E197" s="109">
        <v>14048660</v>
      </c>
      <c r="F197" s="109">
        <v>14396400</v>
      </c>
      <c r="G197" s="110">
        <f aca="true" t="shared" si="25" ref="G197:G205">(F197-E197)/E197</f>
        <v>0.024752538676286562</v>
      </c>
      <c r="H197" s="107">
        <f t="shared" si="24"/>
        <v>14048660</v>
      </c>
      <c r="I197" s="108">
        <f t="shared" si="24"/>
        <v>14396400</v>
      </c>
      <c r="J197" s="110">
        <f aca="true" t="shared" si="26" ref="J197:J221">(I197-H197)/H197</f>
        <v>0.024752538676286562</v>
      </c>
      <c r="K197" s="111">
        <f>I197/I205</f>
        <v>0.8856461758508789</v>
      </c>
    </row>
    <row r="198" spans="1:11" s="144" customFormat="1" ht="9.75">
      <c r="A198" s="106" t="s">
        <v>40</v>
      </c>
      <c r="B198" s="108">
        <v>0</v>
      </c>
      <c r="C198" s="108">
        <v>0</v>
      </c>
      <c r="D198" s="110"/>
      <c r="E198" s="109">
        <v>74140</v>
      </c>
      <c r="F198" s="109">
        <v>90560</v>
      </c>
      <c r="G198" s="110">
        <f t="shared" si="25"/>
        <v>0.22147288912867547</v>
      </c>
      <c r="H198" s="107">
        <f t="shared" si="24"/>
        <v>74140</v>
      </c>
      <c r="I198" s="108">
        <f t="shared" si="24"/>
        <v>90560</v>
      </c>
      <c r="J198" s="110">
        <f t="shared" si="26"/>
        <v>0.22147288912867547</v>
      </c>
      <c r="K198" s="111">
        <f>I198/I205</f>
        <v>0.005571123175589425</v>
      </c>
    </row>
    <row r="199" spans="1:11" s="144" customFormat="1" ht="9.75">
      <c r="A199" s="106" t="s">
        <v>41</v>
      </c>
      <c r="B199" s="109">
        <v>9320</v>
      </c>
      <c r="C199" s="109">
        <v>9360</v>
      </c>
      <c r="D199" s="110">
        <f>(C199-B199)/B199</f>
        <v>0.004291845493562232</v>
      </c>
      <c r="E199" s="109">
        <v>0</v>
      </c>
      <c r="F199" s="109">
        <v>0</v>
      </c>
      <c r="G199" s="110">
        <v>0</v>
      </c>
      <c r="H199" s="107">
        <f>B199+E199</f>
        <v>9320</v>
      </c>
      <c r="I199" s="108">
        <f>C199+F199</f>
        <v>9360</v>
      </c>
      <c r="J199" s="110">
        <f t="shared" si="26"/>
        <v>0.004291845493562232</v>
      </c>
      <c r="K199" s="111">
        <f>I199/I205</f>
        <v>0.0005758139677950201</v>
      </c>
    </row>
    <row r="200" spans="1:11" s="144" customFormat="1" ht="9.75">
      <c r="A200" s="106" t="s">
        <v>42</v>
      </c>
      <c r="B200" s="109">
        <v>1277700</v>
      </c>
      <c r="C200" s="109">
        <v>1390070</v>
      </c>
      <c r="D200" s="110">
        <f>(C200-B200)/B200</f>
        <v>0.08794709243171324</v>
      </c>
      <c r="E200" s="109">
        <v>0</v>
      </c>
      <c r="F200" s="109">
        <v>0</v>
      </c>
      <c r="G200" s="110">
        <v>0</v>
      </c>
      <c r="H200" s="107">
        <f>B200+E200</f>
        <v>1277700</v>
      </c>
      <c r="I200" s="108">
        <f>C200+F200</f>
        <v>1390070</v>
      </c>
      <c r="J200" s="110">
        <f t="shared" si="26"/>
        <v>0.08794709243171324</v>
      </c>
      <c r="K200" s="111">
        <f>I200/I205</f>
        <v>0.0855151412620538</v>
      </c>
    </row>
    <row r="201" spans="1:11" s="144" customFormat="1" ht="9.75">
      <c r="A201" s="106" t="s">
        <v>43</v>
      </c>
      <c r="B201" s="108">
        <f>'2019 Certified Estimate'!B206</f>
        <v>0</v>
      </c>
      <c r="C201" s="109">
        <v>0</v>
      </c>
      <c r="D201" s="110">
        <v>0</v>
      </c>
      <c r="E201" s="109">
        <v>0</v>
      </c>
      <c r="F201" s="109">
        <v>0</v>
      </c>
      <c r="G201" s="110">
        <v>0</v>
      </c>
      <c r="H201" s="107">
        <f t="shared" si="24"/>
        <v>0</v>
      </c>
      <c r="I201" s="108">
        <f>C201+F201</f>
        <v>0</v>
      </c>
      <c r="J201" s="110">
        <v>0</v>
      </c>
      <c r="K201" s="111">
        <f>I201/I205</f>
        <v>0</v>
      </c>
    </row>
    <row r="202" spans="1:11" s="144" customFormat="1" ht="9.75">
      <c r="A202" s="106" t="s">
        <v>44</v>
      </c>
      <c r="B202" s="108">
        <v>0</v>
      </c>
      <c r="C202" s="108">
        <v>0</v>
      </c>
      <c r="D202" s="110"/>
      <c r="E202" s="109">
        <v>315260</v>
      </c>
      <c r="F202" s="109">
        <v>304580</v>
      </c>
      <c r="G202" s="110">
        <f t="shared" si="25"/>
        <v>-0.03387680010150352</v>
      </c>
      <c r="H202" s="107">
        <f t="shared" si="24"/>
        <v>315260</v>
      </c>
      <c r="I202" s="108">
        <f t="shared" si="24"/>
        <v>304580</v>
      </c>
      <c r="J202" s="110">
        <f t="shared" si="26"/>
        <v>-0.03387680010150352</v>
      </c>
      <c r="K202" s="111">
        <f>I202/I205</f>
        <v>0.01873733101613325</v>
      </c>
    </row>
    <row r="203" spans="1:11" s="144" customFormat="1" ht="9.75">
      <c r="A203" s="106" t="s">
        <v>45</v>
      </c>
      <c r="B203" s="108">
        <v>0</v>
      </c>
      <c r="C203" s="108">
        <v>0</v>
      </c>
      <c r="D203" s="110"/>
      <c r="E203" s="109">
        <v>0</v>
      </c>
      <c r="F203" s="109">
        <v>0</v>
      </c>
      <c r="G203" s="110">
        <v>0</v>
      </c>
      <c r="H203" s="107">
        <f t="shared" si="24"/>
        <v>0</v>
      </c>
      <c r="I203" s="108">
        <f t="shared" si="24"/>
        <v>0</v>
      </c>
      <c r="J203" s="110">
        <v>0</v>
      </c>
      <c r="K203" s="111">
        <f>I203/I205</f>
        <v>0</v>
      </c>
    </row>
    <row r="204" spans="1:11" s="144" customFormat="1" ht="10.5" thickBot="1">
      <c r="A204" s="284" t="s">
        <v>46</v>
      </c>
      <c r="B204" s="277">
        <v>0</v>
      </c>
      <c r="C204" s="277">
        <v>0</v>
      </c>
      <c r="D204" s="278"/>
      <c r="E204" s="109">
        <v>64280</v>
      </c>
      <c r="F204" s="109">
        <v>64280</v>
      </c>
      <c r="G204" s="110">
        <f t="shared" si="25"/>
        <v>0</v>
      </c>
      <c r="H204" s="107">
        <f t="shared" si="24"/>
        <v>64280</v>
      </c>
      <c r="I204" s="108">
        <f t="shared" si="24"/>
        <v>64280</v>
      </c>
      <c r="J204" s="110">
        <f t="shared" si="26"/>
        <v>0</v>
      </c>
      <c r="K204" s="111">
        <f>I204/I205</f>
        <v>0.003954414727549561</v>
      </c>
    </row>
    <row r="205" spans="1:11" s="144" customFormat="1" ht="10.5" thickBot="1">
      <c r="A205" s="250" t="s">
        <v>47</v>
      </c>
      <c r="B205" s="259">
        <f>SUM(B194:B204)</f>
        <v>1287020</v>
      </c>
      <c r="C205" s="260">
        <f>SUM(C194:C204)</f>
        <v>1399430</v>
      </c>
      <c r="D205" s="256">
        <f>(C205-B205)/B205</f>
        <v>0.08734130005749717</v>
      </c>
      <c r="E205" s="259">
        <f>SUM(E194:E204)</f>
        <v>14502340</v>
      </c>
      <c r="F205" s="260">
        <f>SUM(F194:F204)</f>
        <v>14855820</v>
      </c>
      <c r="G205" s="256">
        <f t="shared" si="25"/>
        <v>0.024373997575563668</v>
      </c>
      <c r="H205" s="263">
        <f>SUM(H194:H204)</f>
        <v>15789360</v>
      </c>
      <c r="I205" s="257">
        <f>SUM(I194:I204)</f>
        <v>16255250</v>
      </c>
      <c r="J205" s="256">
        <f t="shared" si="26"/>
        <v>0.02950657911403629</v>
      </c>
      <c r="K205" s="261">
        <f>SUM(K194:K204)</f>
        <v>1</v>
      </c>
    </row>
    <row r="206" spans="1:11" s="144" customFormat="1" ht="9.75">
      <c r="A206" s="113" t="str">
        <f>A54</f>
        <v>Less Minimum Value Loss</v>
      </c>
      <c r="B206" s="9"/>
      <c r="C206" s="112"/>
      <c r="D206" s="9"/>
      <c r="E206" s="9"/>
      <c r="F206" s="112"/>
      <c r="G206" s="9"/>
      <c r="H206" s="108">
        <f>'2019 Certified Estimate'!H211</f>
        <v>0</v>
      </c>
      <c r="I206" s="118">
        <v>0</v>
      </c>
      <c r="J206" s="117">
        <v>0</v>
      </c>
      <c r="K206" s="9"/>
    </row>
    <row r="207" spans="1:11" s="144" customFormat="1" ht="9.75">
      <c r="A207" s="113" t="s">
        <v>174</v>
      </c>
      <c r="B207" s="9"/>
      <c r="C207" s="112"/>
      <c r="D207" s="9"/>
      <c r="E207" s="9"/>
      <c r="F207" s="112"/>
      <c r="G207" s="9"/>
      <c r="H207" s="108">
        <f>'2019 Certified Estimate'!H212</f>
        <v>-3780</v>
      </c>
      <c r="I207" s="109">
        <v>-620</v>
      </c>
      <c r="J207" s="117">
        <f t="shared" si="26"/>
        <v>-0.8359788359788359</v>
      </c>
      <c r="K207" s="9"/>
    </row>
    <row r="208" spans="1:11" s="144" customFormat="1" ht="10.5" thickBot="1">
      <c r="A208" s="113" t="s">
        <v>49</v>
      </c>
      <c r="B208" s="9"/>
      <c r="C208" s="112"/>
      <c r="D208" s="9"/>
      <c r="E208" s="9"/>
      <c r="F208" s="112"/>
      <c r="G208" s="9"/>
      <c r="H208" s="108">
        <f>'2019 Certified Estimate'!H213</f>
        <v>-6981390</v>
      </c>
      <c r="I208" s="109">
        <v>-7110150</v>
      </c>
      <c r="J208" s="126">
        <f t="shared" si="26"/>
        <v>0.018443318594148158</v>
      </c>
      <c r="K208" s="9"/>
    </row>
    <row r="209" spans="1:11" s="144" customFormat="1" ht="10.5" thickBot="1">
      <c r="A209" s="250" t="s">
        <v>50</v>
      </c>
      <c r="B209" s="253"/>
      <c r="C209" s="260"/>
      <c r="D209" s="253"/>
      <c r="E209" s="253"/>
      <c r="F209" s="260"/>
      <c r="G209" s="253"/>
      <c r="H209" s="254">
        <f>SUM(H205:H208)</f>
        <v>8804190</v>
      </c>
      <c r="I209" s="257">
        <f>SUM(I205:I208)</f>
        <v>9144480</v>
      </c>
      <c r="J209" s="256">
        <f t="shared" si="26"/>
        <v>0.03865091507566284</v>
      </c>
      <c r="K209" s="9"/>
    </row>
    <row r="210" spans="1:11" s="144" customFormat="1" ht="9.75">
      <c r="A210" s="113" t="s">
        <v>127</v>
      </c>
      <c r="B210" s="9"/>
      <c r="C210" s="112"/>
      <c r="D210" s="9"/>
      <c r="E210" s="9"/>
      <c r="F210" s="112"/>
      <c r="G210" s="9"/>
      <c r="H210" s="108">
        <f>'2019 Certified Estimate'!H215</f>
        <v>-1170</v>
      </c>
      <c r="I210" s="109">
        <v>-1180</v>
      </c>
      <c r="J210" s="117">
        <f t="shared" si="26"/>
        <v>0.008547008547008548</v>
      </c>
      <c r="K210" s="9"/>
    </row>
    <row r="211" spans="1:11" s="144" customFormat="1" ht="9.75">
      <c r="A211" s="113" t="s">
        <v>78</v>
      </c>
      <c r="B211" s="9"/>
      <c r="C211" s="112"/>
      <c r="D211" s="9"/>
      <c r="E211" s="9"/>
      <c r="F211" s="112"/>
      <c r="G211" s="9"/>
      <c r="H211" s="108">
        <f>'2019 Certified Estimate'!H216</f>
        <v>0</v>
      </c>
      <c r="I211" s="109">
        <v>0</v>
      </c>
      <c r="J211" s="117">
        <v>0</v>
      </c>
      <c r="K211" s="9"/>
    </row>
    <row r="212" spans="1:11" s="144" customFormat="1" ht="9.75">
      <c r="A212" s="113" t="s">
        <v>128</v>
      </c>
      <c r="B212" s="9"/>
      <c r="C212" s="112"/>
      <c r="D212" s="9"/>
      <c r="E212" s="9"/>
      <c r="F212" s="112"/>
      <c r="G212" s="9"/>
      <c r="H212" s="108">
        <f>'2019 Certified Estimate'!H217</f>
        <v>0</v>
      </c>
      <c r="I212" s="109">
        <v>0</v>
      </c>
      <c r="J212" s="117">
        <v>0</v>
      </c>
      <c r="K212" s="9"/>
    </row>
    <row r="213" spans="1:11" s="144" customFormat="1" ht="9.75">
      <c r="A213" s="113" t="s">
        <v>157</v>
      </c>
      <c r="B213" s="9"/>
      <c r="C213" s="112"/>
      <c r="D213" s="9"/>
      <c r="E213" s="9"/>
      <c r="F213" s="112"/>
      <c r="G213" s="9"/>
      <c r="H213" s="108">
        <f>'2019 Certified Estimate'!H218</f>
        <v>-64280</v>
      </c>
      <c r="I213" s="109">
        <v>-64280</v>
      </c>
      <c r="J213" s="117">
        <f t="shared" si="26"/>
        <v>0</v>
      </c>
      <c r="K213" s="9"/>
    </row>
    <row r="214" spans="1:11" s="144" customFormat="1" ht="9.75">
      <c r="A214" s="113" t="s">
        <v>53</v>
      </c>
      <c r="B214" s="9"/>
      <c r="C214" s="112"/>
      <c r="D214" s="9"/>
      <c r="E214" s="9"/>
      <c r="F214" s="112"/>
      <c r="G214" s="9"/>
      <c r="H214" s="108">
        <f>'2019 Certified Estimate'!H219</f>
        <v>-844380</v>
      </c>
      <c r="I214" s="109">
        <v>-820040</v>
      </c>
      <c r="J214" s="117">
        <f t="shared" si="26"/>
        <v>-0.028825884080627206</v>
      </c>
      <c r="K214" s="9"/>
    </row>
    <row r="215" spans="1:11" s="144" customFormat="1" ht="9.75">
      <c r="A215" s="113" t="s">
        <v>54</v>
      </c>
      <c r="B215" s="9"/>
      <c r="C215" s="112"/>
      <c r="D215" s="9"/>
      <c r="E215" s="9"/>
      <c r="F215" s="112"/>
      <c r="G215" s="9"/>
      <c r="H215" s="108">
        <f>'2019 Certified Estimate'!H220</f>
        <v>-130760</v>
      </c>
      <c r="I215" s="109">
        <v>-140000</v>
      </c>
      <c r="J215" s="117">
        <f t="shared" si="26"/>
        <v>0.07066381156316917</v>
      </c>
      <c r="K215" s="9"/>
    </row>
    <row r="216" spans="1:11" s="144" customFormat="1" ht="9.75">
      <c r="A216" s="113" t="s">
        <v>55</v>
      </c>
      <c r="B216" s="9"/>
      <c r="C216" s="112"/>
      <c r="D216" s="9"/>
      <c r="E216" s="9"/>
      <c r="F216" s="112"/>
      <c r="G216" s="9"/>
      <c r="H216" s="108">
        <f>'2019 Certified Estimate'!H221</f>
        <v>-10000</v>
      </c>
      <c r="I216" s="109">
        <v>-10000</v>
      </c>
      <c r="J216" s="117">
        <v>0</v>
      </c>
      <c r="K216" s="9"/>
    </row>
    <row r="217" spans="1:11" s="144" customFormat="1" ht="9.75">
      <c r="A217" s="113" t="s">
        <v>56</v>
      </c>
      <c r="B217" s="9"/>
      <c r="C217" s="112"/>
      <c r="D217" s="9"/>
      <c r="E217" s="9"/>
      <c r="F217" s="112"/>
      <c r="G217" s="9"/>
      <c r="H217" s="108">
        <f>'2019 Certified Estimate'!H222</f>
        <v>-12000</v>
      </c>
      <c r="I217" s="109">
        <v>-12000</v>
      </c>
      <c r="J217" s="117">
        <v>0</v>
      </c>
      <c r="K217" s="9"/>
    </row>
    <row r="218" spans="1:11" s="144" customFormat="1" ht="9.75">
      <c r="A218" s="113" t="s">
        <v>57</v>
      </c>
      <c r="B218" s="9"/>
      <c r="C218" s="112"/>
      <c r="D218" s="9"/>
      <c r="E218" s="9"/>
      <c r="F218" s="112"/>
      <c r="G218" s="9"/>
      <c r="H218" s="108">
        <f>'2019 Certified Estimate'!H223</f>
        <v>0</v>
      </c>
      <c r="I218" s="109">
        <v>0</v>
      </c>
      <c r="J218" s="117">
        <v>0</v>
      </c>
      <c r="K218" s="9"/>
    </row>
    <row r="219" spans="1:11" s="144" customFormat="1" ht="9.75">
      <c r="A219" s="113" t="s">
        <v>58</v>
      </c>
      <c r="B219" s="9"/>
      <c r="C219" s="112"/>
      <c r="D219" s="9"/>
      <c r="E219" s="9"/>
      <c r="F219" s="112"/>
      <c r="G219" s="9"/>
      <c r="H219" s="108">
        <f>'2019 Certified Estimate'!H224</f>
        <v>0</v>
      </c>
      <c r="I219" s="109">
        <v>0</v>
      </c>
      <c r="J219" s="117">
        <v>0</v>
      </c>
      <c r="K219" s="9"/>
    </row>
    <row r="220" spans="1:11" s="144" customFormat="1" ht="10.5" thickBot="1">
      <c r="A220" s="113" t="s">
        <v>59</v>
      </c>
      <c r="B220" s="9"/>
      <c r="C220" s="112"/>
      <c r="D220" s="9"/>
      <c r="E220" s="9"/>
      <c r="F220" s="112"/>
      <c r="G220" s="9"/>
      <c r="H220" s="108">
        <f>'2019 Certified Estimate'!H225</f>
        <v>0</v>
      </c>
      <c r="I220" s="109">
        <v>0</v>
      </c>
      <c r="J220" s="126">
        <v>0</v>
      </c>
      <c r="K220" s="9"/>
    </row>
    <row r="221" spans="1:11" s="144" customFormat="1" ht="10.5" thickBot="1">
      <c r="A221" s="250" t="s">
        <v>60</v>
      </c>
      <c r="B221" s="253"/>
      <c r="C221" s="260"/>
      <c r="D221" s="253"/>
      <c r="E221" s="253"/>
      <c r="F221" s="260"/>
      <c r="G221" s="253"/>
      <c r="H221" s="254">
        <f>SUM(H209:H220)</f>
        <v>7741600</v>
      </c>
      <c r="I221" s="257">
        <f>SUM(I209:I220)</f>
        <v>8096980</v>
      </c>
      <c r="J221" s="256">
        <f t="shared" si="26"/>
        <v>0.04590523922703317</v>
      </c>
      <c r="K221" s="9"/>
    </row>
    <row r="222" spans="1:11" s="144" customFormat="1" ht="9.75">
      <c r="A222" s="121" t="s">
        <v>61</v>
      </c>
      <c r="B222" s="9"/>
      <c r="C222" s="112"/>
      <c r="D222" s="9"/>
      <c r="E222" s="108">
        <f>'2019 Certified Estimate'!E227</f>
        <v>1636550</v>
      </c>
      <c r="F222" s="118">
        <v>1684180</v>
      </c>
      <c r="G222" s="123">
        <f>(F222-E222)/E222</f>
        <v>0.029103907610522135</v>
      </c>
      <c r="H222" s="124"/>
      <c r="I222" s="125"/>
      <c r="J222" s="9"/>
      <c r="K222" s="9"/>
    </row>
    <row r="223" spans="1:11" s="144" customFormat="1" ht="9.75">
      <c r="A223" s="121" t="s">
        <v>19</v>
      </c>
      <c r="B223" s="9"/>
      <c r="C223" s="112"/>
      <c r="D223" s="9"/>
      <c r="E223" s="127">
        <f>'2019 Certified Estimate'!E228</f>
        <v>11619.98</v>
      </c>
      <c r="F223" s="137">
        <v>11778.06</v>
      </c>
      <c r="G223" s="123">
        <f>(F223-E223)/E223</f>
        <v>0.013604154224017591</v>
      </c>
      <c r="H223" s="124"/>
      <c r="I223" s="125"/>
      <c r="J223" s="9"/>
      <c r="K223" s="130"/>
    </row>
    <row r="224" spans="1:11" s="144" customFormat="1" ht="9.75">
      <c r="A224" s="121"/>
      <c r="B224" s="9"/>
      <c r="C224" s="112"/>
      <c r="D224" s="9"/>
      <c r="E224" s="143"/>
      <c r="F224" s="118"/>
      <c r="G224" s="123"/>
      <c r="H224" s="112"/>
      <c r="I224" s="108"/>
      <c r="J224" s="9"/>
      <c r="K224" s="9"/>
    </row>
    <row r="225" spans="1:11" s="144" customFormat="1" ht="9.75">
      <c r="A225" s="121"/>
      <c r="B225" s="104"/>
      <c r="C225" s="108"/>
      <c r="D225" s="104"/>
      <c r="E225" s="104"/>
      <c r="F225" s="108"/>
      <c r="G225" s="104"/>
      <c r="H225" s="125"/>
      <c r="I225" s="125"/>
      <c r="J225" s="123"/>
      <c r="K225" s="9"/>
    </row>
    <row r="226" spans="1:11" s="144" customFormat="1" ht="9.75">
      <c r="A226" s="121" t="s">
        <v>18</v>
      </c>
      <c r="B226" s="9"/>
      <c r="C226" s="112"/>
      <c r="D226" s="9"/>
      <c r="E226" s="9"/>
      <c r="F226" s="112"/>
      <c r="G226" s="9"/>
      <c r="H226" s="108">
        <f>'2019 Certified Estimate'!H231</f>
        <v>190650</v>
      </c>
      <c r="I226" s="118">
        <v>14220</v>
      </c>
      <c r="J226" s="123">
        <f>(I226-H226)/H226</f>
        <v>-0.9254130605822187</v>
      </c>
      <c r="K226" s="9"/>
    </row>
    <row r="227" spans="1:11" s="144" customFormat="1" ht="9.75">
      <c r="A227" s="121" t="s">
        <v>17</v>
      </c>
      <c r="B227" s="9"/>
      <c r="C227" s="112"/>
      <c r="D227" s="9"/>
      <c r="E227" s="9"/>
      <c r="F227" s="112"/>
      <c r="G227" s="9"/>
      <c r="H227" s="108">
        <f>'2019 Certified Estimate'!H232</f>
        <v>143</v>
      </c>
      <c r="I227" s="118">
        <v>141</v>
      </c>
      <c r="J227" s="123">
        <f>(I227-H227)/H227</f>
        <v>-0.013986013986013986</v>
      </c>
      <c r="K227" s="9"/>
    </row>
    <row r="228" spans="1:10" s="136" customFormat="1" ht="10.5" thickBot="1">
      <c r="A228" s="132"/>
      <c r="C228" s="140"/>
      <c r="F228" s="140"/>
      <c r="H228" s="140"/>
      <c r="I228" s="140"/>
      <c r="J228" s="135"/>
    </row>
    <row r="229" spans="1:11" s="144" customFormat="1" ht="10.5" thickBot="1">
      <c r="A229" s="267" t="s">
        <v>111</v>
      </c>
      <c r="B229" s="95" t="s">
        <v>32</v>
      </c>
      <c r="C229" s="372"/>
      <c r="D229" s="97"/>
      <c r="E229" s="95" t="s">
        <v>33</v>
      </c>
      <c r="F229" s="372"/>
      <c r="G229" s="97"/>
      <c r="H229" s="95" t="s">
        <v>34</v>
      </c>
      <c r="I229" s="372"/>
      <c r="J229" s="97"/>
      <c r="K229" s="99"/>
    </row>
    <row r="230" spans="1:11" ht="9.75">
      <c r="A230" s="9" t="s">
        <v>35</v>
      </c>
      <c r="B230" s="285" t="s">
        <v>200</v>
      </c>
      <c r="C230" s="308" t="s">
        <v>202</v>
      </c>
      <c r="D230" s="100" t="s">
        <v>67</v>
      </c>
      <c r="E230" s="285" t="str">
        <f>B230</f>
        <v>2018 Certified</v>
      </c>
      <c r="F230" s="308" t="s">
        <v>202</v>
      </c>
      <c r="G230" s="100" t="s">
        <v>67</v>
      </c>
      <c r="H230" s="101" t="str">
        <f>B230</f>
        <v>2018 Certified</v>
      </c>
      <c r="I230" s="384" t="s">
        <v>204</v>
      </c>
      <c r="J230" s="100" t="s">
        <v>67</v>
      </c>
      <c r="K230" s="207" t="s">
        <v>71</v>
      </c>
    </row>
    <row r="231" spans="1:11" s="144" customFormat="1" ht="9.75">
      <c r="A231" s="9"/>
      <c r="B231" s="103"/>
      <c r="C231" s="108"/>
      <c r="D231" s="105"/>
      <c r="E231" s="103"/>
      <c r="F231" s="108"/>
      <c r="G231" s="105"/>
      <c r="H231" s="103"/>
      <c r="I231" s="108"/>
      <c r="J231" s="105"/>
      <c r="K231" s="106"/>
    </row>
    <row r="232" spans="1:11" s="144" customFormat="1" ht="9.75">
      <c r="A232" s="9" t="s">
        <v>36</v>
      </c>
      <c r="B232" s="107">
        <v>0</v>
      </c>
      <c r="C232" s="108">
        <v>0</v>
      </c>
      <c r="D232" s="105"/>
      <c r="E232" s="108">
        <f>'2019 Certified Estimate'!E238</f>
        <v>474450</v>
      </c>
      <c r="F232" s="109">
        <v>470870</v>
      </c>
      <c r="G232" s="110">
        <f>(F232-E232)/E232</f>
        <v>-0.007545579091579724</v>
      </c>
      <c r="H232" s="107">
        <f aca="true" t="shared" si="27" ref="H232:I242">B232+E232</f>
        <v>474450</v>
      </c>
      <c r="I232" s="108">
        <f t="shared" si="27"/>
        <v>470870</v>
      </c>
      <c r="J232" s="110">
        <f aca="true" t="shared" si="28" ref="J232:J259">(I232-H232)/H232</f>
        <v>-0.007545579091579724</v>
      </c>
      <c r="K232" s="111">
        <f>I232/I243</f>
        <v>0.11127653591017907</v>
      </c>
    </row>
    <row r="233" spans="1:11" s="144" customFormat="1" ht="9.75">
      <c r="A233" s="9" t="s">
        <v>37</v>
      </c>
      <c r="B233" s="107">
        <v>0</v>
      </c>
      <c r="C233" s="108">
        <v>0</v>
      </c>
      <c r="D233" s="105"/>
      <c r="E233" s="108">
        <f>'2019 Certified Estimate'!E239</f>
        <v>0</v>
      </c>
      <c r="F233" s="109">
        <v>0</v>
      </c>
      <c r="G233" s="110">
        <v>0</v>
      </c>
      <c r="H233" s="107">
        <f t="shared" si="27"/>
        <v>0</v>
      </c>
      <c r="I233" s="108">
        <f t="shared" si="27"/>
        <v>0</v>
      </c>
      <c r="J233" s="110">
        <v>0</v>
      </c>
      <c r="K233" s="111">
        <f>I233/I243</f>
        <v>0</v>
      </c>
    </row>
    <row r="234" spans="1:11" s="144" customFormat="1" ht="9.75">
      <c r="A234" s="9" t="s">
        <v>38</v>
      </c>
      <c r="B234" s="107">
        <v>0</v>
      </c>
      <c r="C234" s="108">
        <v>0</v>
      </c>
      <c r="D234" s="105"/>
      <c r="E234" s="108">
        <f>'2019 Certified Estimate'!E240</f>
        <v>68260</v>
      </c>
      <c r="F234" s="109">
        <v>68260</v>
      </c>
      <c r="G234" s="110">
        <f>(F234-E234)/E234</f>
        <v>0</v>
      </c>
      <c r="H234" s="107">
        <f t="shared" si="27"/>
        <v>68260</v>
      </c>
      <c r="I234" s="108">
        <f t="shared" si="27"/>
        <v>68260</v>
      </c>
      <c r="J234" s="110">
        <f t="shared" si="28"/>
        <v>0</v>
      </c>
      <c r="K234" s="111">
        <f>I234/I243</f>
        <v>0.016131281120540325</v>
      </c>
    </row>
    <row r="235" spans="1:11" s="144" customFormat="1" ht="9.75">
      <c r="A235" s="9" t="s">
        <v>39</v>
      </c>
      <c r="B235" s="107">
        <v>0</v>
      </c>
      <c r="C235" s="108">
        <v>0</v>
      </c>
      <c r="D235" s="105"/>
      <c r="E235" s="108">
        <f>'2019 Certified Estimate'!E241</f>
        <v>3374510</v>
      </c>
      <c r="F235" s="109">
        <v>3471700</v>
      </c>
      <c r="G235" s="110">
        <f>(F235-E235)/E235</f>
        <v>0.028801218547285384</v>
      </c>
      <c r="H235" s="107">
        <f t="shared" si="27"/>
        <v>3374510</v>
      </c>
      <c r="I235" s="108">
        <f t="shared" si="27"/>
        <v>3471700</v>
      </c>
      <c r="J235" s="110">
        <f t="shared" si="28"/>
        <v>0.028801218547285384</v>
      </c>
      <c r="K235" s="111">
        <f>I235/I243</f>
        <v>0.8204361070345714</v>
      </c>
    </row>
    <row r="236" spans="1:11" s="144" customFormat="1" ht="9.75">
      <c r="A236" s="9" t="s">
        <v>40</v>
      </c>
      <c r="B236" s="107">
        <v>0</v>
      </c>
      <c r="C236" s="108">
        <v>0</v>
      </c>
      <c r="D236" s="110"/>
      <c r="E236" s="108">
        <f>'2019 Certified Estimate'!E242</f>
        <v>0</v>
      </c>
      <c r="F236" s="109">
        <v>0</v>
      </c>
      <c r="G236" s="110">
        <v>0</v>
      </c>
      <c r="H236" s="107">
        <f t="shared" si="27"/>
        <v>0</v>
      </c>
      <c r="I236" s="108">
        <f t="shared" si="27"/>
        <v>0</v>
      </c>
      <c r="J236" s="110">
        <v>0</v>
      </c>
      <c r="K236" s="111">
        <f>I236/I243</f>
        <v>0</v>
      </c>
    </row>
    <row r="237" spans="1:11" s="144" customFormat="1" ht="9.75">
      <c r="A237" s="9" t="s">
        <v>41</v>
      </c>
      <c r="B237" s="107">
        <v>0</v>
      </c>
      <c r="C237" s="109">
        <v>0</v>
      </c>
      <c r="D237" s="110">
        <v>0</v>
      </c>
      <c r="E237" s="108">
        <f>'2019 Certified Estimate'!E243</f>
        <v>0</v>
      </c>
      <c r="F237" s="109">
        <v>0</v>
      </c>
      <c r="G237" s="110">
        <v>0</v>
      </c>
      <c r="H237" s="107">
        <f t="shared" si="27"/>
        <v>0</v>
      </c>
      <c r="I237" s="108">
        <f t="shared" si="27"/>
        <v>0</v>
      </c>
      <c r="J237" s="110">
        <v>0</v>
      </c>
      <c r="K237" s="111">
        <f>I237/I243</f>
        <v>0</v>
      </c>
    </row>
    <row r="238" spans="1:11" s="144" customFormat="1" ht="9.75">
      <c r="A238" s="9" t="s">
        <v>42</v>
      </c>
      <c r="B238" s="107">
        <v>138760</v>
      </c>
      <c r="C238" s="109">
        <v>164040</v>
      </c>
      <c r="D238" s="110">
        <f>(C238-B238)/B238</f>
        <v>0.1821850677428654</v>
      </c>
      <c r="E238" s="108">
        <f>'2019 Certified Estimate'!E244</f>
        <v>0</v>
      </c>
      <c r="F238" s="109">
        <v>0</v>
      </c>
      <c r="G238" s="110">
        <v>0</v>
      </c>
      <c r="H238" s="107">
        <f t="shared" si="27"/>
        <v>138760</v>
      </c>
      <c r="I238" s="108">
        <f t="shared" si="27"/>
        <v>164040</v>
      </c>
      <c r="J238" s="110">
        <f t="shared" si="28"/>
        <v>0.1821850677428654</v>
      </c>
      <c r="K238" s="111">
        <f>I238/I243</f>
        <v>0.03876612005586632</v>
      </c>
    </row>
    <row r="239" spans="1:11" s="144" customFormat="1" ht="9.75">
      <c r="A239" s="9" t="s">
        <v>43</v>
      </c>
      <c r="B239" s="107">
        <f>'2019 Certified Estimate'!B245</f>
        <v>0</v>
      </c>
      <c r="C239" s="109">
        <v>0</v>
      </c>
      <c r="D239" s="110"/>
      <c r="E239" s="108">
        <f>'2019 Certified Estimate'!E245</f>
        <v>400</v>
      </c>
      <c r="F239" s="109">
        <v>440</v>
      </c>
      <c r="G239" s="110">
        <v>0</v>
      </c>
      <c r="H239" s="107">
        <f t="shared" si="27"/>
        <v>400</v>
      </c>
      <c r="I239" s="108">
        <f t="shared" si="27"/>
        <v>440</v>
      </c>
      <c r="J239" s="110">
        <v>0</v>
      </c>
      <c r="K239" s="111">
        <f>I239/I243</f>
        <v>0.00010398130227128249</v>
      </c>
    </row>
    <row r="240" spans="1:11" s="144" customFormat="1" ht="9.75">
      <c r="A240" s="9" t="s">
        <v>44</v>
      </c>
      <c r="B240" s="107">
        <v>0</v>
      </c>
      <c r="C240" s="108">
        <v>0</v>
      </c>
      <c r="D240" s="110"/>
      <c r="E240" s="108">
        <f>'2019 Certified Estimate'!E246</f>
        <v>64650</v>
      </c>
      <c r="F240" s="109">
        <v>56220</v>
      </c>
      <c r="G240" s="110">
        <f>(F240-E240)/E240</f>
        <v>-0.13039443155452435</v>
      </c>
      <c r="H240" s="107">
        <f t="shared" si="27"/>
        <v>64650</v>
      </c>
      <c r="I240" s="108">
        <f t="shared" si="27"/>
        <v>56220</v>
      </c>
      <c r="J240" s="110">
        <f t="shared" si="28"/>
        <v>-0.13039443155452435</v>
      </c>
      <c r="K240" s="111">
        <f>I240/I243</f>
        <v>0.013285974576571595</v>
      </c>
    </row>
    <row r="241" spans="1:11" s="144" customFormat="1" ht="9.75">
      <c r="A241" s="9" t="s">
        <v>45</v>
      </c>
      <c r="B241" s="107">
        <v>0</v>
      </c>
      <c r="C241" s="108">
        <v>0</v>
      </c>
      <c r="D241" s="110"/>
      <c r="E241" s="108">
        <f>'2019 Certified Estimate'!E247</f>
        <v>0</v>
      </c>
      <c r="F241" s="109">
        <v>0</v>
      </c>
      <c r="G241" s="110">
        <v>0</v>
      </c>
      <c r="H241" s="107">
        <f t="shared" si="27"/>
        <v>0</v>
      </c>
      <c r="I241" s="108">
        <f t="shared" si="27"/>
        <v>0</v>
      </c>
      <c r="J241" s="110">
        <v>0</v>
      </c>
      <c r="K241" s="111">
        <f>I241/I243</f>
        <v>0</v>
      </c>
    </row>
    <row r="242" spans="1:11" s="144" customFormat="1" ht="10.5" thickBot="1">
      <c r="A242" s="9" t="s">
        <v>46</v>
      </c>
      <c r="B242" s="107">
        <v>0</v>
      </c>
      <c r="C242" s="108">
        <v>0</v>
      </c>
      <c r="D242" s="110"/>
      <c r="E242" s="108">
        <f>'2019 Certified Estimate'!E248</f>
        <v>0</v>
      </c>
      <c r="F242" s="109">
        <v>0</v>
      </c>
      <c r="G242" s="110">
        <v>0</v>
      </c>
      <c r="H242" s="107">
        <f t="shared" si="27"/>
        <v>0</v>
      </c>
      <c r="I242" s="108">
        <f t="shared" si="27"/>
        <v>0</v>
      </c>
      <c r="J242" s="110">
        <v>0</v>
      </c>
      <c r="K242" s="111">
        <f>I242/I243</f>
        <v>0</v>
      </c>
    </row>
    <row r="243" spans="1:11" s="144" customFormat="1" ht="10.5" thickBot="1">
      <c r="A243" s="250" t="s">
        <v>47</v>
      </c>
      <c r="B243" s="259">
        <f>SUM(B232:B242)</f>
        <v>138760</v>
      </c>
      <c r="C243" s="260">
        <f>SUM(C232:C242)</f>
        <v>164040</v>
      </c>
      <c r="D243" s="256">
        <f>(C243-B243)/B243</f>
        <v>0.1821850677428654</v>
      </c>
      <c r="E243" s="259">
        <f>SUM(E232:E242)</f>
        <v>3982270</v>
      </c>
      <c r="F243" s="260">
        <f>SUM(F232:F242)</f>
        <v>4067490</v>
      </c>
      <c r="G243" s="256">
        <f>(F243-E243)/E243</f>
        <v>0.02139985485665211</v>
      </c>
      <c r="H243" s="263">
        <f>SUM(H232:H242)</f>
        <v>4121030</v>
      </c>
      <c r="I243" s="257">
        <f>SUM(C243+F243)</f>
        <v>4231530</v>
      </c>
      <c r="J243" s="256">
        <f t="shared" si="28"/>
        <v>0.026813684928282493</v>
      </c>
      <c r="K243" s="261">
        <f>SUM(K232:K242)</f>
        <v>0.9999999999999999</v>
      </c>
    </row>
    <row r="244" spans="1:11" s="144" customFormat="1" ht="9.75">
      <c r="A244" s="113" t="str">
        <f>A92</f>
        <v>Less Minimum Value Loss</v>
      </c>
      <c r="B244" s="9"/>
      <c r="C244" s="112"/>
      <c r="D244" s="9"/>
      <c r="E244" s="9"/>
      <c r="F244" s="112"/>
      <c r="G244" s="9"/>
      <c r="H244" s="108">
        <f>'2019 Certified Estimate'!H250</f>
        <v>0</v>
      </c>
      <c r="I244" s="118">
        <v>0</v>
      </c>
      <c r="J244" s="117">
        <v>0</v>
      </c>
      <c r="K244" s="9"/>
    </row>
    <row r="245" spans="1:11" s="144" customFormat="1" ht="9.75">
      <c r="A245" s="113" t="s">
        <v>174</v>
      </c>
      <c r="B245" s="9"/>
      <c r="C245" s="112"/>
      <c r="D245" s="9"/>
      <c r="E245" s="9"/>
      <c r="F245" s="112"/>
      <c r="G245" s="9"/>
      <c r="H245" s="108">
        <f>'2019 Certified Estimate'!H251</f>
        <v>-38330</v>
      </c>
      <c r="I245" s="118">
        <v>-36570</v>
      </c>
      <c r="J245" s="117">
        <f t="shared" si="28"/>
        <v>-0.04591703626402296</v>
      </c>
      <c r="K245" s="9"/>
    </row>
    <row r="246" spans="1:11" s="144" customFormat="1" ht="10.5" thickBot="1">
      <c r="A246" s="113" t="s">
        <v>49</v>
      </c>
      <c r="B246" s="9"/>
      <c r="C246" s="112"/>
      <c r="D246" s="9"/>
      <c r="E246" s="9"/>
      <c r="F246" s="112"/>
      <c r="G246" s="9"/>
      <c r="H246" s="108">
        <f>'2019 Certified Estimate'!H252</f>
        <v>-885690</v>
      </c>
      <c r="I246" s="118">
        <v>-940590</v>
      </c>
      <c r="J246" s="126">
        <f t="shared" si="28"/>
        <v>0.06198557057209633</v>
      </c>
      <c r="K246" s="9"/>
    </row>
    <row r="247" spans="1:11" s="144" customFormat="1" ht="10.5" thickBot="1">
      <c r="A247" s="250" t="s">
        <v>50</v>
      </c>
      <c r="B247" s="253"/>
      <c r="C247" s="260"/>
      <c r="D247" s="253"/>
      <c r="E247" s="253"/>
      <c r="F247" s="260"/>
      <c r="G247" s="253"/>
      <c r="H247" s="254">
        <f>SUM(H243:H246)</f>
        <v>3197010</v>
      </c>
      <c r="I247" s="257">
        <f>SUM(I243-I244+I245+I246)</f>
        <v>3254370</v>
      </c>
      <c r="J247" s="256">
        <f t="shared" si="28"/>
        <v>0.017941764336051498</v>
      </c>
      <c r="K247" s="9"/>
    </row>
    <row r="248" spans="1:11" s="144" customFormat="1" ht="9.75">
      <c r="A248" s="113" t="s">
        <v>127</v>
      </c>
      <c r="B248" s="9"/>
      <c r="C248" s="112"/>
      <c r="D248" s="9"/>
      <c r="E248" s="9"/>
      <c r="F248" s="112"/>
      <c r="G248" s="9"/>
      <c r="H248" s="108">
        <f>'2019 Certified Estimate'!H254</f>
        <v>-280</v>
      </c>
      <c r="I248" s="120">
        <v>-440</v>
      </c>
      <c r="J248" s="117">
        <f t="shared" si="28"/>
        <v>0.5714285714285714</v>
      </c>
      <c r="K248" s="9"/>
    </row>
    <row r="249" spans="1:11" s="144" customFormat="1" ht="9.75">
      <c r="A249" s="113" t="s">
        <v>78</v>
      </c>
      <c r="B249" s="9"/>
      <c r="C249" s="112"/>
      <c r="D249" s="9"/>
      <c r="E249" s="9"/>
      <c r="F249" s="112"/>
      <c r="G249" s="9"/>
      <c r="H249" s="108">
        <f>'2019 Certified Estimate'!H255</f>
        <v>0</v>
      </c>
      <c r="I249" s="118">
        <v>0</v>
      </c>
      <c r="J249" s="117">
        <v>0</v>
      </c>
      <c r="K249" s="9"/>
    </row>
    <row r="250" spans="1:11" s="144" customFormat="1" ht="9.75">
      <c r="A250" s="113" t="s">
        <v>128</v>
      </c>
      <c r="B250" s="9"/>
      <c r="C250" s="112"/>
      <c r="D250" s="9"/>
      <c r="E250" s="9"/>
      <c r="F250" s="112"/>
      <c r="G250" s="9"/>
      <c r="H250" s="108">
        <f>'2019 Certified Estimate'!H256</f>
        <v>0</v>
      </c>
      <c r="I250" s="118">
        <v>0</v>
      </c>
      <c r="J250" s="117">
        <v>0</v>
      </c>
      <c r="K250" s="9"/>
    </row>
    <row r="251" spans="1:11" s="144" customFormat="1" ht="9.75">
      <c r="A251" s="113" t="s">
        <v>157</v>
      </c>
      <c r="B251" s="9"/>
      <c r="C251" s="112"/>
      <c r="D251" s="9"/>
      <c r="E251" s="9"/>
      <c r="F251" s="112"/>
      <c r="G251" s="9"/>
      <c r="H251" s="108">
        <f>'2019 Certified Estimate'!H257</f>
        <v>0</v>
      </c>
      <c r="I251" s="118">
        <v>0</v>
      </c>
      <c r="J251" s="117">
        <v>0</v>
      </c>
      <c r="K251" s="9"/>
    </row>
    <row r="252" spans="1:11" s="144" customFormat="1" ht="9.75">
      <c r="A252" s="113" t="s">
        <v>53</v>
      </c>
      <c r="B252" s="9"/>
      <c r="C252" s="112"/>
      <c r="D252" s="9"/>
      <c r="E252" s="9"/>
      <c r="F252" s="112"/>
      <c r="G252" s="9"/>
      <c r="H252" s="108">
        <f>'2019 Certified Estimate'!H258</f>
        <v>-389853</v>
      </c>
      <c r="I252" s="118">
        <v>-403232</v>
      </c>
      <c r="J252" s="117">
        <f t="shared" si="28"/>
        <v>0.03431806347520732</v>
      </c>
      <c r="K252" s="9"/>
    </row>
    <row r="253" spans="1:11" s="144" customFormat="1" ht="9.75">
      <c r="A253" s="113" t="s">
        <v>54</v>
      </c>
      <c r="B253" s="9"/>
      <c r="C253" s="112"/>
      <c r="D253" s="9"/>
      <c r="E253" s="9"/>
      <c r="F253" s="112"/>
      <c r="G253" s="9"/>
      <c r="H253" s="108">
        <f>'2019 Certified Estimate'!H259</f>
        <v>-36620</v>
      </c>
      <c r="I253" s="118">
        <v>-68683</v>
      </c>
      <c r="J253" s="117">
        <f t="shared" si="28"/>
        <v>0.8755598033861278</v>
      </c>
      <c r="K253" s="9"/>
    </row>
    <row r="254" spans="1:11" s="144" customFormat="1" ht="9.75">
      <c r="A254" s="113" t="s">
        <v>55</v>
      </c>
      <c r="B254" s="9"/>
      <c r="C254" s="112"/>
      <c r="D254" s="9"/>
      <c r="E254" s="9"/>
      <c r="F254" s="112"/>
      <c r="G254" s="9"/>
      <c r="H254" s="108">
        <f>'2019 Certified Estimate'!H260</f>
        <v>-18170</v>
      </c>
      <c r="I254" s="118">
        <v>-18440</v>
      </c>
      <c r="J254" s="117">
        <f t="shared" si="28"/>
        <v>0.014859658778205834</v>
      </c>
      <c r="K254" s="9"/>
    </row>
    <row r="255" spans="1:11" s="144" customFormat="1" ht="9.75">
      <c r="A255" s="113" t="s">
        <v>56</v>
      </c>
      <c r="B255" s="9"/>
      <c r="C255" s="112"/>
      <c r="D255" s="9"/>
      <c r="E255" s="9"/>
      <c r="F255" s="112"/>
      <c r="G255" s="9"/>
      <c r="H255" s="108">
        <f>'2019 Certified Estimate'!H261</f>
        <v>-21250</v>
      </c>
      <c r="I255" s="118">
        <v>-22280</v>
      </c>
      <c r="J255" s="117">
        <f t="shared" si="28"/>
        <v>0.04847058823529412</v>
      </c>
      <c r="K255" s="9"/>
    </row>
    <row r="256" spans="1:11" s="144" customFormat="1" ht="9.75">
      <c r="A256" s="113" t="s">
        <v>57</v>
      </c>
      <c r="B256" s="9"/>
      <c r="C256" s="112"/>
      <c r="D256" s="9"/>
      <c r="E256" s="9"/>
      <c r="F256" s="112"/>
      <c r="G256" s="9"/>
      <c r="H256" s="108">
        <f>'2019 Certified Estimate'!H262</f>
        <v>0</v>
      </c>
      <c r="I256" s="118">
        <v>0</v>
      </c>
      <c r="J256" s="117">
        <v>0</v>
      </c>
      <c r="K256" s="9"/>
    </row>
    <row r="257" spans="1:11" s="144" customFormat="1" ht="9.75">
      <c r="A257" s="113" t="s">
        <v>58</v>
      </c>
      <c r="B257" s="9"/>
      <c r="C257" s="112"/>
      <c r="D257" s="9"/>
      <c r="E257" s="9"/>
      <c r="F257" s="112"/>
      <c r="G257" s="9"/>
      <c r="H257" s="108">
        <f>'2019 Certified Estimate'!H263</f>
        <v>0</v>
      </c>
      <c r="I257" s="120">
        <v>0</v>
      </c>
      <c r="J257" s="117">
        <v>0</v>
      </c>
      <c r="K257" s="9"/>
    </row>
    <row r="258" spans="1:11" s="144" customFormat="1" ht="10.5" thickBot="1">
      <c r="A258" s="113" t="s">
        <v>59</v>
      </c>
      <c r="B258" s="9"/>
      <c r="C258" s="112"/>
      <c r="D258" s="9"/>
      <c r="E258" s="9"/>
      <c r="F258" s="112"/>
      <c r="G258" s="9"/>
      <c r="H258" s="108">
        <f>'2019 Certified Estimate'!H264</f>
        <v>0</v>
      </c>
      <c r="I258" s="120">
        <v>0</v>
      </c>
      <c r="J258" s="126">
        <v>0</v>
      </c>
      <c r="K258" s="9"/>
    </row>
    <row r="259" spans="1:11" s="144" customFormat="1" ht="10.5" thickBot="1">
      <c r="A259" s="250" t="s">
        <v>60</v>
      </c>
      <c r="B259" s="253"/>
      <c r="C259" s="260"/>
      <c r="D259" s="253"/>
      <c r="E259" s="253"/>
      <c r="F259" s="260"/>
      <c r="G259" s="253"/>
      <c r="H259" s="254">
        <f>SUM(H247:H258)</f>
        <v>2730837</v>
      </c>
      <c r="I259" s="257">
        <f>SUM(I247:I258)</f>
        <v>2741295</v>
      </c>
      <c r="J259" s="256">
        <f t="shared" si="28"/>
        <v>0.0038295951021609857</v>
      </c>
      <c r="K259" s="9"/>
    </row>
    <row r="260" spans="1:11" s="144" customFormat="1" ht="9.75">
      <c r="A260" s="121" t="s">
        <v>61</v>
      </c>
      <c r="B260" s="9"/>
      <c r="C260" s="112"/>
      <c r="D260" s="9"/>
      <c r="E260" s="108">
        <f>'2019 Certified Estimate'!E266</f>
        <v>127389</v>
      </c>
      <c r="F260" s="118">
        <v>126229</v>
      </c>
      <c r="G260" s="123">
        <f>(F260-E260)/E260</f>
        <v>-0.009105966763221314</v>
      </c>
      <c r="H260" s="124"/>
      <c r="I260" s="125"/>
      <c r="J260" s="9"/>
      <c r="K260" s="9"/>
    </row>
    <row r="261" spans="1:11" s="144" customFormat="1" ht="9.75">
      <c r="A261" s="121" t="s">
        <v>19</v>
      </c>
      <c r="B261" s="9"/>
      <c r="C261" s="112"/>
      <c r="D261" s="9"/>
      <c r="E261" s="127">
        <f>'2019 Certified Estimate'!E267</f>
        <v>1157.97</v>
      </c>
      <c r="F261" s="387">
        <v>1199.23</v>
      </c>
      <c r="G261" s="123">
        <f>(F261-E261)/E261</f>
        <v>0.03563132032781505</v>
      </c>
      <c r="H261" s="124"/>
      <c r="I261" s="125"/>
      <c r="J261" s="9"/>
      <c r="K261" s="130"/>
    </row>
    <row r="262" spans="1:11" s="144" customFormat="1" ht="9.75">
      <c r="A262" s="121"/>
      <c r="B262" s="9"/>
      <c r="C262" s="112"/>
      <c r="D262" s="9"/>
      <c r="E262" s="143"/>
      <c r="F262" s="118"/>
      <c r="G262" s="123"/>
      <c r="H262" s="112"/>
      <c r="I262" s="108"/>
      <c r="J262" s="9"/>
      <c r="K262" s="9"/>
    </row>
    <row r="263" spans="1:11" s="144" customFormat="1" ht="9.75">
      <c r="A263" s="121"/>
      <c r="B263" s="104"/>
      <c r="C263" s="108"/>
      <c r="D263" s="104"/>
      <c r="E263" s="104"/>
      <c r="F263" s="108"/>
      <c r="G263" s="104"/>
      <c r="H263" s="125"/>
      <c r="I263" s="125"/>
      <c r="J263" s="123"/>
      <c r="K263" s="9"/>
    </row>
    <row r="264" spans="1:11" s="144" customFormat="1" ht="9.75">
      <c r="A264" s="121" t="s">
        <v>18</v>
      </c>
      <c r="B264" s="9"/>
      <c r="C264" s="112"/>
      <c r="D264" s="9"/>
      <c r="E264" s="9"/>
      <c r="F264" s="112"/>
      <c r="G264" s="9"/>
      <c r="H264" s="108">
        <f>'2019 Certified Estimate'!H270</f>
        <v>0</v>
      </c>
      <c r="I264" s="118">
        <v>0</v>
      </c>
      <c r="J264" s="123">
        <v>1</v>
      </c>
      <c r="K264" s="9"/>
    </row>
    <row r="265" spans="1:11" s="144" customFormat="1" ht="9.75">
      <c r="A265" s="121" t="s">
        <v>17</v>
      </c>
      <c r="B265" s="9"/>
      <c r="C265" s="112"/>
      <c r="D265" s="9"/>
      <c r="E265" s="9"/>
      <c r="F265" s="112"/>
      <c r="G265" s="9"/>
      <c r="H265" s="108">
        <f>'2019 Certified Estimate'!H271</f>
        <v>82</v>
      </c>
      <c r="I265" s="118">
        <v>84</v>
      </c>
      <c r="J265" s="123">
        <f>(I265-H265)/H265</f>
        <v>0.024390243902439025</v>
      </c>
      <c r="K265" s="9"/>
    </row>
    <row r="266" spans="1:10" s="136" customFormat="1" ht="10.5" thickBot="1">
      <c r="A266" s="132"/>
      <c r="C266" s="140"/>
      <c r="F266" s="140"/>
      <c r="H266" s="140"/>
      <c r="I266" s="140"/>
      <c r="J266" s="135"/>
    </row>
    <row r="267" spans="1:11" ht="10.5" thickBot="1">
      <c r="A267" s="267" t="s">
        <v>5</v>
      </c>
      <c r="B267" s="95" t="s">
        <v>32</v>
      </c>
      <c r="C267" s="372"/>
      <c r="D267" s="97"/>
      <c r="E267" s="95" t="s">
        <v>33</v>
      </c>
      <c r="F267" s="372"/>
      <c r="G267" s="97"/>
      <c r="H267" s="95" t="s">
        <v>34</v>
      </c>
      <c r="I267" s="372"/>
      <c r="J267" s="97"/>
      <c r="K267" s="99"/>
    </row>
    <row r="268" spans="1:11" ht="9.75">
      <c r="A268" s="9" t="s">
        <v>35</v>
      </c>
      <c r="B268" s="285" t="s">
        <v>200</v>
      </c>
      <c r="C268" s="308" t="s">
        <v>202</v>
      </c>
      <c r="D268" s="100" t="s">
        <v>67</v>
      </c>
      <c r="E268" s="285" t="str">
        <f>B268</f>
        <v>2018 Certified</v>
      </c>
      <c r="F268" s="308" t="s">
        <v>202</v>
      </c>
      <c r="G268" s="100" t="s">
        <v>67</v>
      </c>
      <c r="H268" s="101" t="str">
        <f>B268</f>
        <v>2018 Certified</v>
      </c>
      <c r="I268" s="384" t="s">
        <v>204</v>
      </c>
      <c r="J268" s="100" t="s">
        <v>67</v>
      </c>
      <c r="K268" s="207" t="s">
        <v>71</v>
      </c>
    </row>
    <row r="269" spans="2:11" ht="9.75">
      <c r="B269" s="103"/>
      <c r="C269" s="108"/>
      <c r="D269" s="105"/>
      <c r="E269" s="103"/>
      <c r="F269" s="108"/>
      <c r="G269" s="105"/>
      <c r="H269" s="103"/>
      <c r="I269" s="108"/>
      <c r="J269" s="105"/>
      <c r="K269" s="106"/>
    </row>
    <row r="270" spans="1:11" ht="9.75">
      <c r="A270" s="9" t="s">
        <v>36</v>
      </c>
      <c r="B270" s="107">
        <v>0</v>
      </c>
      <c r="C270" s="108">
        <v>0</v>
      </c>
      <c r="D270" s="105"/>
      <c r="E270" s="108">
        <f>'2019 Certified Estimate'!E277</f>
        <v>76533950</v>
      </c>
      <c r="F270" s="108">
        <v>77070250</v>
      </c>
      <c r="G270" s="110">
        <f>(F270-E270)/E270</f>
        <v>0.007007347719541458</v>
      </c>
      <c r="H270" s="107">
        <f aca="true" t="shared" si="29" ref="H270:I280">B270+E270</f>
        <v>76533950</v>
      </c>
      <c r="I270" s="108">
        <f t="shared" si="29"/>
        <v>77070250</v>
      </c>
      <c r="J270" s="110">
        <f aca="true" t="shared" si="30" ref="J270:J278">(I270-H270)/H270</f>
        <v>0.007007347719541458</v>
      </c>
      <c r="K270" s="111">
        <f>I270/I281</f>
        <v>0.14996146390088838</v>
      </c>
    </row>
    <row r="271" spans="1:11" ht="9.75">
      <c r="A271" s="9" t="s">
        <v>37</v>
      </c>
      <c r="B271" s="107">
        <v>0</v>
      </c>
      <c r="C271" s="108">
        <v>0</v>
      </c>
      <c r="D271" s="105"/>
      <c r="E271" s="108">
        <f>'2019 Certified Estimate'!E278</f>
        <v>1640950</v>
      </c>
      <c r="F271" s="108">
        <v>2458790</v>
      </c>
      <c r="G271" s="110">
        <f>(F271-E271)/E271</f>
        <v>0.4983942228587099</v>
      </c>
      <c r="H271" s="107">
        <f t="shared" si="29"/>
        <v>1640950</v>
      </c>
      <c r="I271" s="108">
        <f t="shared" si="29"/>
        <v>2458790</v>
      </c>
      <c r="J271" s="110">
        <f t="shared" si="30"/>
        <v>0.4983942228587099</v>
      </c>
      <c r="K271" s="111">
        <f>I271/I281</f>
        <v>0.004784255245375036</v>
      </c>
    </row>
    <row r="272" spans="1:11" ht="9.75">
      <c r="A272" s="9" t="s">
        <v>38</v>
      </c>
      <c r="B272" s="107">
        <v>0</v>
      </c>
      <c r="C272" s="108">
        <v>0</v>
      </c>
      <c r="D272" s="105"/>
      <c r="E272" s="108">
        <f>'2019 Certified Estimate'!E279</f>
        <v>3962590</v>
      </c>
      <c r="F272" s="108">
        <v>3753230</v>
      </c>
      <c r="G272" s="110">
        <f>(F272-E272)/E272</f>
        <v>-0.052834131212161746</v>
      </c>
      <c r="H272" s="107">
        <f t="shared" si="29"/>
        <v>3962590</v>
      </c>
      <c r="I272" s="108">
        <f t="shared" si="29"/>
        <v>3753230</v>
      </c>
      <c r="J272" s="110">
        <f t="shared" si="30"/>
        <v>-0.052834131212161746</v>
      </c>
      <c r="K272" s="111">
        <f>I272/I281</f>
        <v>0.007302945885821459</v>
      </c>
    </row>
    <row r="273" spans="1:11" ht="9.75">
      <c r="A273" s="9" t="s">
        <v>39</v>
      </c>
      <c r="B273" s="107">
        <v>0</v>
      </c>
      <c r="C273" s="108">
        <v>0</v>
      </c>
      <c r="D273" s="105"/>
      <c r="E273" s="108">
        <f>'2019 Certified Estimate'!E280</f>
        <v>118139860</v>
      </c>
      <c r="F273" s="108">
        <v>121392770</v>
      </c>
      <c r="G273" s="110">
        <f>(F273-E273)/E273</f>
        <v>0.027534398635651</v>
      </c>
      <c r="H273" s="107">
        <f t="shared" si="29"/>
        <v>118139860</v>
      </c>
      <c r="I273" s="108">
        <f t="shared" si="29"/>
        <v>121392770</v>
      </c>
      <c r="J273" s="110">
        <f t="shared" si="30"/>
        <v>0.027534398635651</v>
      </c>
      <c r="K273" s="111">
        <f>I273/I281</f>
        <v>0.2362031717320736</v>
      </c>
    </row>
    <row r="274" spans="1:11" ht="9.75">
      <c r="A274" s="9" t="s">
        <v>40</v>
      </c>
      <c r="B274" s="107">
        <v>0</v>
      </c>
      <c r="C274" s="108">
        <v>1609150</v>
      </c>
      <c r="D274" s="110"/>
      <c r="E274" s="108">
        <f>'2019 Certified Estimate'!E281</f>
        <v>22670310</v>
      </c>
      <c r="F274" s="108">
        <v>21800860</v>
      </c>
      <c r="G274" s="110">
        <f>(F274-E274)/E274</f>
        <v>-0.03835192372755379</v>
      </c>
      <c r="H274" s="107">
        <f t="shared" si="29"/>
        <v>22670310</v>
      </c>
      <c r="I274" s="108">
        <f t="shared" si="29"/>
        <v>23410010</v>
      </c>
      <c r="J274" s="110">
        <f t="shared" si="30"/>
        <v>0.03262857896517515</v>
      </c>
      <c r="K274" s="111">
        <f>I274/I281</f>
        <v>0.045550642038068336</v>
      </c>
    </row>
    <row r="275" spans="1:11" ht="9.75">
      <c r="A275" s="9" t="s">
        <v>41</v>
      </c>
      <c r="B275" s="107">
        <f>'2019 Certified Estimate'!B282</f>
        <v>29865030</v>
      </c>
      <c r="C275" s="109">
        <v>32021640</v>
      </c>
      <c r="D275" s="110">
        <f>(C275-B275)/B275</f>
        <v>0.07221188125376067</v>
      </c>
      <c r="E275" s="108">
        <f>'2019 Certified Estimate'!E282</f>
        <v>0</v>
      </c>
      <c r="F275" s="108">
        <v>0</v>
      </c>
      <c r="G275" s="110">
        <v>0</v>
      </c>
      <c r="H275" s="107">
        <f t="shared" si="29"/>
        <v>29865030</v>
      </c>
      <c r="I275" s="108">
        <f t="shared" si="29"/>
        <v>32021640</v>
      </c>
      <c r="J275" s="110">
        <f t="shared" si="30"/>
        <v>0.07221188125376067</v>
      </c>
      <c r="K275" s="111">
        <f>I275/I281</f>
        <v>0.062306947374729464</v>
      </c>
    </row>
    <row r="276" spans="1:11" ht="9.75">
      <c r="A276" s="9" t="s">
        <v>42</v>
      </c>
      <c r="B276" s="107">
        <f>'2019 Certified Estimate'!B283</f>
        <v>49378940</v>
      </c>
      <c r="C276" s="109">
        <v>46129560</v>
      </c>
      <c r="D276" s="110">
        <f>(C276-B276)/B276</f>
        <v>-0.06580497677754929</v>
      </c>
      <c r="E276" s="108">
        <f>'2019 Certified Estimate'!E283</f>
        <v>458750</v>
      </c>
      <c r="F276" s="108">
        <v>467670</v>
      </c>
      <c r="G276" s="110">
        <f aca="true" t="shared" si="31" ref="G276:G281">(F276-E276)/E276</f>
        <v>0.019444141689373296</v>
      </c>
      <c r="H276" s="107">
        <f t="shared" si="29"/>
        <v>49837690</v>
      </c>
      <c r="I276" s="108">
        <f t="shared" si="29"/>
        <v>46597230</v>
      </c>
      <c r="J276" s="110">
        <f t="shared" si="30"/>
        <v>-0.06502026879656742</v>
      </c>
      <c r="K276" s="111">
        <f>I276/I281</f>
        <v>0.09066778457999544</v>
      </c>
    </row>
    <row r="277" spans="1:11" ht="9.75">
      <c r="A277" s="9" t="s">
        <v>43</v>
      </c>
      <c r="B277" s="107">
        <f>'2019 Certified Estimate'!B284</f>
        <v>180965380</v>
      </c>
      <c r="C277" s="109">
        <v>180333960</v>
      </c>
      <c r="D277" s="110">
        <f>(C277-B277)/B277</f>
        <v>-0.0034891756644281906</v>
      </c>
      <c r="E277" s="108">
        <f>'2019 Certified Estimate'!E284</f>
        <v>6881620</v>
      </c>
      <c r="F277" s="108">
        <v>7844560</v>
      </c>
      <c r="G277" s="110">
        <f t="shared" si="31"/>
        <v>0.13992926084265042</v>
      </c>
      <c r="H277" s="107">
        <f t="shared" si="29"/>
        <v>187847000</v>
      </c>
      <c r="I277" s="108">
        <f t="shared" si="29"/>
        <v>188178520</v>
      </c>
      <c r="J277" s="110">
        <f t="shared" si="30"/>
        <v>0.0017648405351163446</v>
      </c>
      <c r="K277" s="111">
        <f>I277/I281</f>
        <v>0.36615329954038817</v>
      </c>
    </row>
    <row r="278" spans="1:11" ht="9.75">
      <c r="A278" s="9" t="s">
        <v>44</v>
      </c>
      <c r="B278" s="107">
        <v>0</v>
      </c>
      <c r="C278" s="108">
        <v>0</v>
      </c>
      <c r="D278" s="110"/>
      <c r="E278" s="108">
        <f>'2019 Certified Estimate'!E285</f>
        <v>4808350</v>
      </c>
      <c r="F278" s="108">
        <v>4984930</v>
      </c>
      <c r="G278" s="110">
        <f t="shared" si="31"/>
        <v>0.03672361620930257</v>
      </c>
      <c r="H278" s="107">
        <f t="shared" si="29"/>
        <v>4808350</v>
      </c>
      <c r="I278" s="108">
        <f t="shared" si="29"/>
        <v>4984930</v>
      </c>
      <c r="J278" s="110">
        <f t="shared" si="30"/>
        <v>0.03672361620930257</v>
      </c>
      <c r="K278" s="111">
        <f>I278/I281</f>
        <v>0.009699558522821134</v>
      </c>
    </row>
    <row r="279" spans="1:11" ht="9.75">
      <c r="A279" s="9" t="s">
        <v>45</v>
      </c>
      <c r="B279" s="107">
        <v>0</v>
      </c>
      <c r="C279" s="108">
        <v>0</v>
      </c>
      <c r="D279" s="110"/>
      <c r="E279" s="108">
        <f>'2019 Certified Estimate'!E286</f>
        <v>0</v>
      </c>
      <c r="F279" s="108">
        <v>0</v>
      </c>
      <c r="G279" s="110">
        <v>1</v>
      </c>
      <c r="H279" s="107">
        <f t="shared" si="29"/>
        <v>0</v>
      </c>
      <c r="I279" s="108">
        <f t="shared" si="29"/>
        <v>0</v>
      </c>
      <c r="J279" s="110">
        <v>0</v>
      </c>
      <c r="K279" s="111">
        <f>I279/I281</f>
        <v>0</v>
      </c>
    </row>
    <row r="280" spans="1:11" ht="10.5" thickBot="1">
      <c r="A280" s="9" t="s">
        <v>46</v>
      </c>
      <c r="B280" s="107">
        <v>0</v>
      </c>
      <c r="C280" s="108">
        <v>0</v>
      </c>
      <c r="D280" s="110"/>
      <c r="E280" s="108">
        <f>'2019 Certified Estimate'!E287</f>
        <v>14185950</v>
      </c>
      <c r="F280" s="108">
        <v>14066330</v>
      </c>
      <c r="G280" s="110">
        <f t="shared" si="31"/>
        <v>-0.008432286875394317</v>
      </c>
      <c r="H280" s="107">
        <f t="shared" si="29"/>
        <v>14185950</v>
      </c>
      <c r="I280" s="108">
        <f t="shared" si="29"/>
        <v>14066330</v>
      </c>
      <c r="J280" s="110">
        <f aca="true" t="shared" si="32" ref="J280:J287">(I280-H280)/H280</f>
        <v>-0.008432286875394317</v>
      </c>
      <c r="K280" s="111">
        <f>I280/I281</f>
        <v>0.027369931179838956</v>
      </c>
    </row>
    <row r="281" spans="1:11" ht="10.5" thickBot="1">
      <c r="A281" s="250" t="s">
        <v>47</v>
      </c>
      <c r="B281" s="259">
        <f>SUM(B270:B280)</f>
        <v>260209350</v>
      </c>
      <c r="C281" s="260">
        <f>SUM(C270:C280)</f>
        <v>260094310</v>
      </c>
      <c r="D281" s="256">
        <f>(C281-B281)/B281</f>
        <v>-0.00044210555846667306</v>
      </c>
      <c r="E281" s="259">
        <f>SUM(E270:E280)</f>
        <v>249282330</v>
      </c>
      <c r="F281" s="260">
        <f>SUM(F270:F280)</f>
        <v>253839390</v>
      </c>
      <c r="G281" s="256">
        <f t="shared" si="31"/>
        <v>0.018280718091811803</v>
      </c>
      <c r="H281" s="263">
        <f>SUM(H270:H280)</f>
        <v>509491680</v>
      </c>
      <c r="I281" s="257">
        <f>SUM(I270:I280)</f>
        <v>513933700</v>
      </c>
      <c r="J281" s="256">
        <f t="shared" si="32"/>
        <v>0.008718532950331986</v>
      </c>
      <c r="K281" s="261">
        <f>SUM(K270:K280)</f>
        <v>1</v>
      </c>
    </row>
    <row r="282" spans="1:10" ht="9.75">
      <c r="A282" s="113" t="str">
        <f>A16</f>
        <v>Less Minimum Value Loss</v>
      </c>
      <c r="H282" s="108">
        <f>'2019 Certified Estimate'!H289</f>
        <v>0</v>
      </c>
      <c r="I282" s="108">
        <v>0</v>
      </c>
      <c r="J282" s="126">
        <v>0</v>
      </c>
    </row>
    <row r="283" spans="1:10" ht="9.75">
      <c r="A283" s="113" t="s">
        <v>174</v>
      </c>
      <c r="H283" s="108">
        <f>'2019 Certified Estimate'!H290</f>
        <v>-222540</v>
      </c>
      <c r="I283" s="108">
        <v>-133640</v>
      </c>
      <c r="J283" s="126">
        <f t="shared" si="32"/>
        <v>-0.39947874539408645</v>
      </c>
    </row>
    <row r="284" spans="1:10" ht="10.5" thickBot="1">
      <c r="A284" s="113" t="s">
        <v>49</v>
      </c>
      <c r="H284" s="108">
        <f>'2019 Certified Estimate'!H291</f>
        <v>-43868200</v>
      </c>
      <c r="I284" s="108">
        <v>-46278110</v>
      </c>
      <c r="J284" s="126">
        <f t="shared" si="32"/>
        <v>0.054935237826033434</v>
      </c>
    </row>
    <row r="285" spans="1:10" ht="10.5" thickBot="1">
      <c r="A285" s="250" t="s">
        <v>50</v>
      </c>
      <c r="B285" s="253"/>
      <c r="C285" s="260"/>
      <c r="D285" s="253"/>
      <c r="E285" s="253"/>
      <c r="F285" s="260"/>
      <c r="G285" s="253"/>
      <c r="H285" s="254">
        <f>SUM(H281:H284)</f>
        <v>465400940</v>
      </c>
      <c r="I285" s="257">
        <f>SUM(I281:I284)</f>
        <v>467521950</v>
      </c>
      <c r="J285" s="256">
        <f t="shared" si="32"/>
        <v>0.004557382286335734</v>
      </c>
    </row>
    <row r="286" spans="1:10" ht="9.75">
      <c r="A286" s="113" t="s">
        <v>127</v>
      </c>
      <c r="H286" s="108">
        <f>'2019 Certified Estimate'!H293</f>
        <v>-251070</v>
      </c>
      <c r="I286" s="108">
        <v>-249050</v>
      </c>
      <c r="J286" s="117">
        <f t="shared" si="32"/>
        <v>-0.008045564981877563</v>
      </c>
    </row>
    <row r="287" spans="1:10" ht="9.75">
      <c r="A287" s="113" t="s">
        <v>78</v>
      </c>
      <c r="H287" s="108">
        <f>'2019 Certified Estimate'!H294</f>
        <v>-137350</v>
      </c>
      <c r="I287" s="108">
        <v>-47650</v>
      </c>
      <c r="J287" s="117">
        <f t="shared" si="32"/>
        <v>-0.6530760829996359</v>
      </c>
    </row>
    <row r="288" spans="1:10" ht="9.75">
      <c r="A288" s="113" t="s">
        <v>128</v>
      </c>
      <c r="H288" s="108">
        <f>'2019 Certified Estimate'!H295</f>
        <v>0</v>
      </c>
      <c r="I288" s="108">
        <v>0</v>
      </c>
      <c r="J288" s="117">
        <v>0</v>
      </c>
    </row>
    <row r="289" spans="1:10" ht="9.75">
      <c r="A289" s="113" t="s">
        <v>157</v>
      </c>
      <c r="H289" s="108">
        <f>'2019 Certified Estimate'!H296</f>
        <v>-14460670</v>
      </c>
      <c r="I289" s="108">
        <v>-14540700</v>
      </c>
      <c r="J289" s="117">
        <f aca="true" t="shared" si="33" ref="J289:J294">(I289-H289)/H289</f>
        <v>0.005534321715383865</v>
      </c>
    </row>
    <row r="290" spans="1:10" ht="9.75">
      <c r="A290" s="113" t="s">
        <v>53</v>
      </c>
      <c r="H290" s="108">
        <f>'2019 Certified Estimate'!H297</f>
        <v>-21996747</v>
      </c>
      <c r="I290" s="108">
        <v>-22011385</v>
      </c>
      <c r="J290" s="117">
        <f t="shared" si="33"/>
        <v>0.0006654620339998455</v>
      </c>
    </row>
    <row r="291" spans="1:10" ht="9.75">
      <c r="A291" s="113" t="s">
        <v>54</v>
      </c>
      <c r="H291" s="108">
        <f>'2019 Certified Estimate'!H298</f>
        <v>-3118785</v>
      </c>
      <c r="I291" s="108">
        <v>-3230150</v>
      </c>
      <c r="J291" s="117">
        <f t="shared" si="33"/>
        <v>0.03570781570387186</v>
      </c>
    </row>
    <row r="292" spans="1:10" ht="9.75">
      <c r="A292" s="113" t="s">
        <v>55</v>
      </c>
      <c r="H292" s="108">
        <f>'2019 Certified Estimate'!H299</f>
        <v>-330743</v>
      </c>
      <c r="I292" s="108">
        <v>-346864</v>
      </c>
      <c r="J292" s="117">
        <f t="shared" si="33"/>
        <v>0.04874177231264154</v>
      </c>
    </row>
    <row r="293" spans="1:10" ht="9.75">
      <c r="A293" s="113" t="s">
        <v>56</v>
      </c>
      <c r="H293" s="108">
        <f>'2019 Certified Estimate'!H300</f>
        <v>-1105313</v>
      </c>
      <c r="I293" s="108">
        <v>-1184967</v>
      </c>
      <c r="J293" s="117">
        <f t="shared" si="33"/>
        <v>0.07206465498912977</v>
      </c>
    </row>
    <row r="294" spans="1:10" ht="9.75">
      <c r="A294" s="113" t="s">
        <v>57</v>
      </c>
      <c r="H294" s="108">
        <f>'2019 Certified Estimate'!H301</f>
        <v>-18304372</v>
      </c>
      <c r="I294" s="108">
        <v>-18617640</v>
      </c>
      <c r="J294" s="117">
        <f t="shared" si="33"/>
        <v>0.01711438119810939</v>
      </c>
    </row>
    <row r="295" spans="1:10" ht="9.75">
      <c r="A295" s="113" t="s">
        <v>58</v>
      </c>
      <c r="H295" s="108">
        <f>'2019 Certified Estimate'!H302</f>
        <v>0</v>
      </c>
      <c r="I295" s="108">
        <v>0</v>
      </c>
      <c r="J295" s="117">
        <v>0</v>
      </c>
    </row>
    <row r="296" spans="1:10" ht="10.5" thickBot="1">
      <c r="A296" s="113" t="s">
        <v>59</v>
      </c>
      <c r="H296" s="108">
        <f>'2019 Certified Estimate'!H303</f>
        <v>0</v>
      </c>
      <c r="I296" s="108">
        <v>0</v>
      </c>
      <c r="J296" s="117">
        <v>0</v>
      </c>
    </row>
    <row r="297" spans="1:10" ht="10.5" thickBot="1">
      <c r="A297" s="250" t="s">
        <v>60</v>
      </c>
      <c r="B297" s="253"/>
      <c r="C297" s="260"/>
      <c r="D297" s="253"/>
      <c r="E297" s="253"/>
      <c r="F297" s="260"/>
      <c r="G297" s="253"/>
      <c r="H297" s="254">
        <f>SUM(H285:H296)</f>
        <v>405695890</v>
      </c>
      <c r="I297" s="257">
        <f>SUM(I285:I296)</f>
        <v>407293544</v>
      </c>
      <c r="J297" s="256">
        <f>(I297-H297)/H297</f>
        <v>0.0039380581351218516</v>
      </c>
    </row>
    <row r="298" spans="1:9" ht="9.75">
      <c r="A298" s="121" t="s">
        <v>61</v>
      </c>
      <c r="E298" s="108">
        <f>'2019 Certified Estimate'!E305</f>
        <v>17789753</v>
      </c>
      <c r="F298" s="118">
        <v>17971031</v>
      </c>
      <c r="G298" s="123">
        <f>(F298-E298)/E298</f>
        <v>0.01019002343652551</v>
      </c>
      <c r="H298" s="124"/>
      <c r="I298" s="125"/>
    </row>
    <row r="299" spans="1:9" ht="9.75">
      <c r="A299" s="121" t="s">
        <v>19</v>
      </c>
      <c r="E299" s="127">
        <f>'2019 Certified Estimate'!E306</f>
        <v>168985.59</v>
      </c>
      <c r="F299" s="137">
        <v>172138.53</v>
      </c>
      <c r="G299" s="123">
        <f>(F299-E299)/E299</f>
        <v>0.018658040605710833</v>
      </c>
      <c r="H299" s="124"/>
      <c r="I299" s="125"/>
    </row>
    <row r="300" spans="1:9" ht="9.75">
      <c r="A300" s="121" t="str">
        <f>A186</f>
        <v>2019 Adopted/2019 Revenue Neutral Tax Rate</v>
      </c>
      <c r="E300" s="386">
        <v>1.43</v>
      </c>
      <c r="F300" s="378">
        <v>1.4234</v>
      </c>
      <c r="G300" s="123"/>
      <c r="H300" s="112"/>
      <c r="I300" s="108"/>
    </row>
    <row r="301" spans="1:10" ht="9.75">
      <c r="A301" s="121" t="s">
        <v>62</v>
      </c>
      <c r="B301" s="104"/>
      <c r="C301" s="108"/>
      <c r="D301" s="104"/>
      <c r="E301" s="104"/>
      <c r="F301" s="108"/>
      <c r="G301" s="104"/>
      <c r="H301" s="125">
        <f>(H297-E298)*E300/100+E299</f>
        <v>5716043.349099999</v>
      </c>
      <c r="I301" s="125">
        <f>(I297-F298)*F300/100+F299</f>
        <v>5713755.1800420005</v>
      </c>
      <c r="J301" s="123">
        <f>(I301-H301)/H301</f>
        <v>-0.00040030645645104885</v>
      </c>
    </row>
    <row r="302" spans="1:10" ht="9.75">
      <c r="A302" s="121" t="s">
        <v>18</v>
      </c>
      <c r="H302" s="108">
        <f>'2019 Certified Estimate'!H309</f>
        <v>2042715</v>
      </c>
      <c r="I302" s="118">
        <v>2048080</v>
      </c>
      <c r="J302" s="123">
        <f>(I302-H302)/H302</f>
        <v>0.002626406522691614</v>
      </c>
    </row>
    <row r="303" spans="1:10" ht="9.75">
      <c r="A303" s="121" t="s">
        <v>17</v>
      </c>
      <c r="H303" s="108">
        <f>'2019 Certified Estimate'!H310</f>
        <v>19185</v>
      </c>
      <c r="I303" s="118">
        <v>19775</v>
      </c>
      <c r="J303" s="123">
        <f>(I303-H303)/H303</f>
        <v>0.030753192598384153</v>
      </c>
    </row>
    <row r="304" spans="1:10" s="136" customFormat="1" ht="10.5" thickBot="1">
      <c r="A304" s="132" t="s">
        <v>199</v>
      </c>
      <c r="C304" s="140"/>
      <c r="F304" s="140"/>
      <c r="H304" s="140"/>
      <c r="I304" s="140"/>
      <c r="J304" s="135"/>
    </row>
    <row r="305" spans="1:11" ht="10.5" thickBot="1">
      <c r="A305" s="369" t="s">
        <v>8</v>
      </c>
      <c r="B305" s="95" t="s">
        <v>32</v>
      </c>
      <c r="C305" s="372"/>
      <c r="D305" s="97"/>
      <c r="E305" s="95" t="s">
        <v>33</v>
      </c>
      <c r="F305" s="372"/>
      <c r="G305" s="97"/>
      <c r="H305" s="95" t="s">
        <v>34</v>
      </c>
      <c r="I305" s="372"/>
      <c r="J305" s="97"/>
      <c r="K305" s="99"/>
    </row>
    <row r="306" spans="1:11" ht="9.75">
      <c r="A306" s="99" t="s">
        <v>35</v>
      </c>
      <c r="B306" s="286" t="s">
        <v>200</v>
      </c>
      <c r="C306" s="308" t="s">
        <v>202</v>
      </c>
      <c r="D306" s="100" t="s">
        <v>67</v>
      </c>
      <c r="E306" s="285" t="str">
        <f>B306</f>
        <v>2018 Certified</v>
      </c>
      <c r="F306" s="308" t="s">
        <v>202</v>
      </c>
      <c r="G306" s="100" t="s">
        <v>67</v>
      </c>
      <c r="H306" s="101" t="str">
        <f>B306</f>
        <v>2018 Certified</v>
      </c>
      <c r="I306" s="384" t="s">
        <v>204</v>
      </c>
      <c r="J306" s="100" t="s">
        <v>67</v>
      </c>
      <c r="K306" s="207" t="s">
        <v>71</v>
      </c>
    </row>
    <row r="307" spans="1:11" ht="9.75">
      <c r="A307" s="106"/>
      <c r="B307" s="104"/>
      <c r="C307" s="108"/>
      <c r="D307" s="105"/>
      <c r="E307" s="103"/>
      <c r="F307" s="108"/>
      <c r="G307" s="105"/>
      <c r="H307" s="103"/>
      <c r="I307" s="108"/>
      <c r="J307" s="105"/>
      <c r="K307" s="106"/>
    </row>
    <row r="308" spans="1:11" ht="9.75">
      <c r="A308" s="106" t="s">
        <v>36</v>
      </c>
      <c r="B308" s="108">
        <v>0</v>
      </c>
      <c r="C308" s="108">
        <v>0</v>
      </c>
      <c r="D308" s="105"/>
      <c r="E308" s="112">
        <v>1704786820</v>
      </c>
      <c r="F308" s="112">
        <v>1744911170</v>
      </c>
      <c r="G308" s="110">
        <f>(F308-E308)/E308</f>
        <v>0.023536285903477363</v>
      </c>
      <c r="H308" s="107">
        <f>B308+E308</f>
        <v>1704786820</v>
      </c>
      <c r="I308" s="108">
        <f>C308+F308</f>
        <v>1744911170</v>
      </c>
      <c r="J308" s="110">
        <f aca="true" t="shared" si="34" ref="J308:J327">(I308-H308)/H308</f>
        <v>0.023536285903477363</v>
      </c>
      <c r="K308" s="111">
        <f>I308/I319</f>
        <v>0.2015099357291356</v>
      </c>
    </row>
    <row r="309" spans="1:11" ht="9.75">
      <c r="A309" s="106" t="s">
        <v>37</v>
      </c>
      <c r="B309" s="108">
        <v>0</v>
      </c>
      <c r="C309" s="108">
        <v>0</v>
      </c>
      <c r="D309" s="105"/>
      <c r="E309" s="112">
        <v>82704660</v>
      </c>
      <c r="F309" s="112">
        <v>91872570</v>
      </c>
      <c r="G309" s="110">
        <f aca="true" t="shared" si="35" ref="G309:G319">(F309-E309)/E309</f>
        <v>0.11085119024732101</v>
      </c>
      <c r="H309" s="107">
        <f aca="true" t="shared" si="36" ref="H309:H318">B309+E309</f>
        <v>82704660</v>
      </c>
      <c r="I309" s="108">
        <f aca="true" t="shared" si="37" ref="I309:I318">C309+F309</f>
        <v>91872570</v>
      </c>
      <c r="J309" s="110">
        <f t="shared" si="34"/>
        <v>0.11085119024732101</v>
      </c>
      <c r="K309" s="111">
        <f>I309/I319</f>
        <v>0.010609844211135694</v>
      </c>
    </row>
    <row r="310" spans="1:11" ht="9.75">
      <c r="A310" s="106" t="s">
        <v>38</v>
      </c>
      <c r="B310" s="108">
        <v>0</v>
      </c>
      <c r="C310" s="108">
        <v>0</v>
      </c>
      <c r="D310" s="105"/>
      <c r="E310" s="112">
        <v>47566920</v>
      </c>
      <c r="F310" s="112">
        <v>45743040</v>
      </c>
      <c r="G310" s="110">
        <f t="shared" si="35"/>
        <v>-0.03834345381201894</v>
      </c>
      <c r="H310" s="107">
        <f t="shared" si="36"/>
        <v>47566920</v>
      </c>
      <c r="I310" s="108">
        <f t="shared" si="37"/>
        <v>45743040</v>
      </c>
      <c r="J310" s="110">
        <f t="shared" si="34"/>
        <v>-0.03834345381201894</v>
      </c>
      <c r="K310" s="111">
        <f>I310/I319</f>
        <v>0.00528260533196958</v>
      </c>
    </row>
    <row r="311" spans="1:11" ht="9.75">
      <c r="A311" s="106" t="s">
        <v>39</v>
      </c>
      <c r="B311" s="108">
        <v>0</v>
      </c>
      <c r="C311" s="108">
        <v>0</v>
      </c>
      <c r="D311" s="105"/>
      <c r="E311" s="112">
        <v>2045208090</v>
      </c>
      <c r="F311" s="112">
        <v>2098069940</v>
      </c>
      <c r="G311" s="110">
        <f t="shared" si="35"/>
        <v>0.025846685360999135</v>
      </c>
      <c r="H311" s="107">
        <f t="shared" si="36"/>
        <v>2045208090</v>
      </c>
      <c r="I311" s="108">
        <f t="shared" si="37"/>
        <v>2098069940</v>
      </c>
      <c r="J311" s="110">
        <f t="shared" si="34"/>
        <v>0.025846685360999135</v>
      </c>
      <c r="K311" s="111">
        <f>I311/I319</f>
        <v>0.24229424742844152</v>
      </c>
    </row>
    <row r="312" spans="1:11" ht="9.75">
      <c r="A312" s="106" t="s">
        <v>40</v>
      </c>
      <c r="B312" s="108">
        <v>1071050460</v>
      </c>
      <c r="C312" s="108">
        <v>1051063530</v>
      </c>
      <c r="D312" s="110">
        <f>(C312-B312)/B312</f>
        <v>-0.018661053560445697</v>
      </c>
      <c r="E312" s="112">
        <v>393886788</v>
      </c>
      <c r="F312" s="112">
        <v>420769070</v>
      </c>
      <c r="G312" s="110">
        <f t="shared" si="35"/>
        <v>0.06824875273551953</v>
      </c>
      <c r="H312" s="107">
        <f t="shared" si="36"/>
        <v>1464937248</v>
      </c>
      <c r="I312" s="108">
        <f>C312+F312</f>
        <v>1471832600</v>
      </c>
      <c r="J312" s="110">
        <f t="shared" si="34"/>
        <v>0.004706926531777285</v>
      </c>
      <c r="K312" s="111">
        <f>I312/I319</f>
        <v>0.16997363403321358</v>
      </c>
    </row>
    <row r="313" spans="1:11" ht="9.75">
      <c r="A313" s="106" t="s">
        <v>41</v>
      </c>
      <c r="B313" s="108">
        <v>367058220</v>
      </c>
      <c r="C313" s="108">
        <v>478797890</v>
      </c>
      <c r="D313" s="110">
        <f>(C313-B313)/B313</f>
        <v>0.304419473292275</v>
      </c>
      <c r="E313" s="112">
        <v>0</v>
      </c>
      <c r="F313" s="112">
        <v>0</v>
      </c>
      <c r="G313" s="110">
        <v>0</v>
      </c>
      <c r="H313" s="107">
        <f t="shared" si="36"/>
        <v>367058220</v>
      </c>
      <c r="I313" s="108">
        <f t="shared" si="37"/>
        <v>478797890</v>
      </c>
      <c r="J313" s="110">
        <f t="shared" si="34"/>
        <v>0.304419473292275</v>
      </c>
      <c r="K313" s="111">
        <f>I313/I319</f>
        <v>0.055293664055772955</v>
      </c>
    </row>
    <row r="314" spans="1:11" ht="9.75">
      <c r="A314" s="106" t="s">
        <v>42</v>
      </c>
      <c r="B314" s="108">
        <v>382095990</v>
      </c>
      <c r="C314" s="108">
        <v>435488790</v>
      </c>
      <c r="D314" s="110">
        <f>(C314-B314)/B314</f>
        <v>0.139736614351802</v>
      </c>
      <c r="E314" s="112">
        <v>9999470</v>
      </c>
      <c r="F314" s="112">
        <v>9705380</v>
      </c>
      <c r="G314" s="110">
        <f t="shared" si="35"/>
        <v>-0.02941055875961426</v>
      </c>
      <c r="H314" s="107">
        <f t="shared" si="36"/>
        <v>392095460</v>
      </c>
      <c r="I314" s="108">
        <f t="shared" si="37"/>
        <v>445194170</v>
      </c>
      <c r="J314" s="110">
        <f t="shared" si="34"/>
        <v>0.13542291461370146</v>
      </c>
      <c r="K314" s="111">
        <f>I314/I319</f>
        <v>0.05141296022747442</v>
      </c>
    </row>
    <row r="315" spans="1:11" ht="9.75">
      <c r="A315" s="106" t="s">
        <v>43</v>
      </c>
      <c r="B315" s="108">
        <v>1305889820</v>
      </c>
      <c r="C315" s="108">
        <v>1480951800</v>
      </c>
      <c r="D315" s="110">
        <f>(C315-B315)/B315</f>
        <v>0.13405570463823663</v>
      </c>
      <c r="E315" s="112">
        <v>267803030</v>
      </c>
      <c r="F315" s="112">
        <v>258310880</v>
      </c>
      <c r="G315" s="110">
        <f t="shared" si="35"/>
        <v>-0.03544452054930073</v>
      </c>
      <c r="H315" s="107">
        <f t="shared" si="36"/>
        <v>1573692850</v>
      </c>
      <c r="I315" s="108">
        <f t="shared" si="37"/>
        <v>1739262680</v>
      </c>
      <c r="J315" s="110">
        <f t="shared" si="34"/>
        <v>0.10521102005388154</v>
      </c>
      <c r="K315" s="111">
        <f>I315/I319</f>
        <v>0.20085762352182324</v>
      </c>
    </row>
    <row r="316" spans="1:11" ht="9.75">
      <c r="A316" s="106" t="s">
        <v>44</v>
      </c>
      <c r="B316" s="108">
        <v>0</v>
      </c>
      <c r="C316" s="108"/>
      <c r="D316" s="110"/>
      <c r="E316" s="112">
        <v>52295490</v>
      </c>
      <c r="F316" s="112">
        <v>53593720</v>
      </c>
      <c r="G316" s="110">
        <f t="shared" si="35"/>
        <v>0.024824894077864076</v>
      </c>
      <c r="H316" s="107">
        <f t="shared" si="36"/>
        <v>52295490</v>
      </c>
      <c r="I316" s="108">
        <f t="shared" si="37"/>
        <v>53593720</v>
      </c>
      <c r="J316" s="110">
        <f t="shared" si="34"/>
        <v>0.024824894077864076</v>
      </c>
      <c r="K316" s="111">
        <f>I316/I319</f>
        <v>0.006189236024367526</v>
      </c>
    </row>
    <row r="317" spans="1:11" ht="9.75">
      <c r="A317" s="106" t="s">
        <v>45</v>
      </c>
      <c r="B317" s="108">
        <v>0</v>
      </c>
      <c r="C317" s="108">
        <v>0</v>
      </c>
      <c r="D317" s="110"/>
      <c r="E317" s="112">
        <v>22332790</v>
      </c>
      <c r="F317" s="112">
        <v>22007130</v>
      </c>
      <c r="G317" s="110">
        <f t="shared" si="35"/>
        <v>-0.014582145804442705</v>
      </c>
      <c r="H317" s="107">
        <f t="shared" si="36"/>
        <v>22332790</v>
      </c>
      <c r="I317" s="108">
        <f t="shared" si="37"/>
        <v>22007130</v>
      </c>
      <c r="J317" s="110">
        <f t="shared" si="34"/>
        <v>-0.014582145804442705</v>
      </c>
      <c r="K317" s="111">
        <f>I317/I319</f>
        <v>0.0025414791469772825</v>
      </c>
    </row>
    <row r="318" spans="1:11" ht="10.5" thickBot="1">
      <c r="A318" s="284" t="s">
        <v>46</v>
      </c>
      <c r="B318" s="277">
        <v>0</v>
      </c>
      <c r="C318" s="277">
        <v>0</v>
      </c>
      <c r="D318" s="278"/>
      <c r="E318" s="112">
        <v>355640630</v>
      </c>
      <c r="F318" s="112">
        <v>467896900</v>
      </c>
      <c r="G318" s="110">
        <f t="shared" si="35"/>
        <v>0.3156452343479427</v>
      </c>
      <c r="H318" s="107">
        <f t="shared" si="36"/>
        <v>355640630</v>
      </c>
      <c r="I318" s="108">
        <f t="shared" si="37"/>
        <v>467896900</v>
      </c>
      <c r="J318" s="110">
        <f t="shared" si="34"/>
        <v>0.3156452343479427</v>
      </c>
      <c r="K318" s="111">
        <f>I318/I319</f>
        <v>0.0540347702896886</v>
      </c>
    </row>
    <row r="319" spans="1:11" ht="10.5" thickBot="1">
      <c r="A319" s="250" t="s">
        <v>47</v>
      </c>
      <c r="B319" s="259">
        <f>SUM(B308:B318)</f>
        <v>3126094490</v>
      </c>
      <c r="C319" s="260">
        <f>SUM(C308:C318)</f>
        <v>3446302010</v>
      </c>
      <c r="D319" s="256">
        <f>(C319-B319)/B319</f>
        <v>0.1024305314584397</v>
      </c>
      <c r="E319" s="259">
        <f>E308+E309+E310+E311+E312+E313+E314+E315+E316+E317+E318</f>
        <v>4982224688</v>
      </c>
      <c r="F319" s="260">
        <f>SUM(F308:F318)</f>
        <v>5212879800</v>
      </c>
      <c r="G319" s="256">
        <f t="shared" si="35"/>
        <v>0.04629560616877582</v>
      </c>
      <c r="H319" s="263">
        <f>SUM(H308:H318)</f>
        <v>8108319178</v>
      </c>
      <c r="I319" s="255">
        <f>SUM(I308:I318)</f>
        <v>8659181810</v>
      </c>
      <c r="J319" s="264">
        <f t="shared" si="34"/>
        <v>0.06793795605563173</v>
      </c>
      <c r="K319" s="261">
        <f>SUM(K308:K318)</f>
        <v>1</v>
      </c>
    </row>
    <row r="320" spans="1:10" ht="9.75">
      <c r="A320" s="113" t="str">
        <f>A16</f>
        <v>Less Minimum Value Loss</v>
      </c>
      <c r="H320" s="108">
        <f>'2019 Certified Estimate'!H328</f>
        <v>0</v>
      </c>
      <c r="I320" s="108">
        <v>0</v>
      </c>
      <c r="J320" s="117">
        <v>0</v>
      </c>
    </row>
    <row r="321" spans="1:10" ht="9.75">
      <c r="A321" s="113" t="s">
        <v>174</v>
      </c>
      <c r="H321" s="112">
        <v>-8559580</v>
      </c>
      <c r="I321" s="112">
        <v>-5527579</v>
      </c>
      <c r="J321" s="117">
        <f t="shared" si="34"/>
        <v>-0.3542231044046554</v>
      </c>
    </row>
    <row r="322" spans="1:10" ht="10.5" thickBot="1">
      <c r="A322" s="113" t="s">
        <v>49</v>
      </c>
      <c r="H322" s="112">
        <v>-635315740</v>
      </c>
      <c r="I322" s="112">
        <v>-652288200</v>
      </c>
      <c r="J322" s="117">
        <f t="shared" si="34"/>
        <v>0.02671500000928672</v>
      </c>
    </row>
    <row r="323" spans="1:10" ht="10.5" thickBot="1">
      <c r="A323" s="250" t="s">
        <v>50</v>
      </c>
      <c r="B323" s="253"/>
      <c r="C323" s="260"/>
      <c r="D323" s="253"/>
      <c r="E323" s="253"/>
      <c r="F323" s="260"/>
      <c r="G323" s="253"/>
      <c r="H323" s="254">
        <f>SUM(H319:H322)</f>
        <v>7464443858</v>
      </c>
      <c r="I323" s="254">
        <f>SUM(I319:I322)</f>
        <v>8001366031</v>
      </c>
      <c r="J323" s="256">
        <f t="shared" si="34"/>
        <v>0.07193063317430608</v>
      </c>
    </row>
    <row r="324" spans="1:10" ht="9.75">
      <c r="A324" s="113" t="s">
        <v>127</v>
      </c>
      <c r="F324" s="118"/>
      <c r="H324" s="108">
        <v>-2176726</v>
      </c>
      <c r="I324" s="112">
        <v>-2621771</v>
      </c>
      <c r="J324" s="117">
        <f t="shared" si="34"/>
        <v>0.2044561419305875</v>
      </c>
    </row>
    <row r="325" spans="1:10" ht="9.75">
      <c r="A325" s="113" t="s">
        <v>78</v>
      </c>
      <c r="H325" s="108">
        <v>-315379514</v>
      </c>
      <c r="I325" s="112">
        <v>-324047073</v>
      </c>
      <c r="J325" s="117">
        <f t="shared" si="34"/>
        <v>0.027482948686388044</v>
      </c>
    </row>
    <row r="326" spans="1:10" ht="9.75">
      <c r="A326" s="113" t="s">
        <v>128</v>
      </c>
      <c r="H326" s="108">
        <v>-23171350</v>
      </c>
      <c r="I326" s="112">
        <v>-27596700</v>
      </c>
      <c r="J326" s="117">
        <f t="shared" si="34"/>
        <v>0.19098369322460712</v>
      </c>
    </row>
    <row r="327" spans="1:12" ht="9.75">
      <c r="A327" s="113" t="s">
        <v>157</v>
      </c>
      <c r="H327" s="108">
        <v>-371913938</v>
      </c>
      <c r="I327" s="112">
        <v>-494889990</v>
      </c>
      <c r="J327" s="117">
        <f t="shared" si="34"/>
        <v>0.33065728233073105</v>
      </c>
      <c r="L327" s="112"/>
    </row>
    <row r="328" spans="1:12" ht="9.75">
      <c r="A328" s="113" t="s">
        <v>53</v>
      </c>
      <c r="H328" s="108">
        <v>0</v>
      </c>
      <c r="I328" s="112">
        <v>0</v>
      </c>
      <c r="J328" s="117">
        <v>0</v>
      </c>
      <c r="L328" s="112"/>
    </row>
    <row r="329" spans="1:12" ht="9.75">
      <c r="A329" s="113" t="s">
        <v>54</v>
      </c>
      <c r="H329" s="108">
        <v>0</v>
      </c>
      <c r="I329" s="112">
        <v>0</v>
      </c>
      <c r="J329" s="117">
        <v>0</v>
      </c>
      <c r="L329" s="112"/>
    </row>
    <row r="330" spans="1:12" ht="9.75">
      <c r="A330" s="113" t="s">
        <v>55</v>
      </c>
      <c r="H330" s="108">
        <v>0</v>
      </c>
      <c r="I330" s="112">
        <v>0</v>
      </c>
      <c r="J330" s="117">
        <v>0</v>
      </c>
      <c r="L330" s="112"/>
    </row>
    <row r="331" spans="1:12" ht="9.75">
      <c r="A331" s="113" t="s">
        <v>56</v>
      </c>
      <c r="H331" s="108">
        <v>-32225794</v>
      </c>
      <c r="I331" s="112">
        <v>-35800254</v>
      </c>
      <c r="J331" s="117">
        <f>(I331-H331)/H331</f>
        <v>0.11091922203685656</v>
      </c>
      <c r="L331" s="112"/>
    </row>
    <row r="332" spans="1:12" ht="9.75">
      <c r="A332" s="113" t="s">
        <v>57</v>
      </c>
      <c r="H332" s="108">
        <v>-423730549</v>
      </c>
      <c r="I332" s="112">
        <v>-436513235</v>
      </c>
      <c r="J332" s="117">
        <f>(I332-H332)/H332</f>
        <v>0.03016701540676502</v>
      </c>
      <c r="L332" s="112"/>
    </row>
    <row r="333" spans="1:12" ht="9.75">
      <c r="A333" s="113" t="s">
        <v>58</v>
      </c>
      <c r="H333" s="108">
        <v>-41816407</v>
      </c>
      <c r="I333" s="112">
        <v>-42570904</v>
      </c>
      <c r="J333" s="117">
        <f>(I333-H333)/H333</f>
        <v>0.018043085337293565</v>
      </c>
      <c r="L333" s="112"/>
    </row>
    <row r="334" spans="1:12" ht="10.5" thickBot="1">
      <c r="A334" s="113" t="s">
        <v>59</v>
      </c>
      <c r="H334" s="119">
        <v>0</v>
      </c>
      <c r="I334" s="112">
        <v>0</v>
      </c>
      <c r="J334" s="117">
        <v>0</v>
      </c>
      <c r="L334" s="112"/>
    </row>
    <row r="335" spans="1:12" ht="10.5" thickBot="1">
      <c r="A335" s="250" t="s">
        <v>60</v>
      </c>
      <c r="B335" s="253"/>
      <c r="C335" s="260"/>
      <c r="D335" s="253"/>
      <c r="E335" s="253"/>
      <c r="F335" s="260"/>
      <c r="G335" s="253"/>
      <c r="H335" s="254">
        <f>SUM(H323:H334)</f>
        <v>6254029580</v>
      </c>
      <c r="I335" s="255">
        <f>SUM(I323:I334)</f>
        <v>6637326104</v>
      </c>
      <c r="J335" s="256">
        <f>(I335-H335)/H335</f>
        <v>0.06128792950160623</v>
      </c>
      <c r="L335" s="112"/>
    </row>
    <row r="336" spans="1:12" ht="10.5">
      <c r="A336" s="9" t="s">
        <v>61</v>
      </c>
      <c r="E336" s="112">
        <v>517471744</v>
      </c>
      <c r="F336" s="112">
        <v>565439638</v>
      </c>
      <c r="G336" s="123">
        <f>(F336-E336)/E336</f>
        <v>0.09269664393501648</v>
      </c>
      <c r="H336" s="124"/>
      <c r="I336" s="125"/>
      <c r="J336" s="146"/>
      <c r="L336" s="112"/>
    </row>
    <row r="337" spans="1:12" ht="10.5">
      <c r="A337" s="146" t="s">
        <v>19</v>
      </c>
      <c r="B337" s="104"/>
      <c r="C337" s="108"/>
      <c r="D337" s="104"/>
      <c r="E337" s="379">
        <v>1563168.68</v>
      </c>
      <c r="F337" s="236">
        <v>1719844.42</v>
      </c>
      <c r="G337" s="123">
        <f>(F337-E337)/E337</f>
        <v>0.10022957983011789</v>
      </c>
      <c r="H337" s="124"/>
      <c r="I337" s="125"/>
      <c r="J337" s="146"/>
      <c r="K337" s="130"/>
      <c r="L337" s="112"/>
    </row>
    <row r="338" spans="1:12" ht="10.5">
      <c r="A338" s="121" t="str">
        <f>A300</f>
        <v>2019 Adopted/2019 Revenue Neutral Tax Rate</v>
      </c>
      <c r="E338" s="380">
        <v>0.3498</v>
      </c>
      <c r="F338" s="401">
        <v>0.3279</v>
      </c>
      <c r="G338" s="123">
        <f>(F338-E338)/E338</f>
        <v>-0.062607204116638</v>
      </c>
      <c r="H338" s="147"/>
      <c r="I338" s="108"/>
      <c r="J338" s="146"/>
      <c r="K338" s="130"/>
      <c r="L338" s="112"/>
    </row>
    <row r="339" spans="1:12" ht="10.5">
      <c r="A339" s="121" t="s">
        <v>62</v>
      </c>
      <c r="H339" s="213">
        <f>(H335-E336)*E338/100+E337</f>
        <v>21629647.990328</v>
      </c>
      <c r="I339" s="213">
        <f>(I335-F336)*F338/100+F337</f>
        <v>21629560.142013997</v>
      </c>
      <c r="J339" s="123">
        <f>(I339-H339)/H339</f>
        <v>-4.061476822990317E-06</v>
      </c>
      <c r="K339" s="146"/>
      <c r="L339" s="112"/>
    </row>
    <row r="340" spans="1:12" ht="10.5">
      <c r="A340" s="121" t="s">
        <v>18</v>
      </c>
      <c r="H340" s="118">
        <v>59020876</v>
      </c>
      <c r="I340" s="112">
        <v>43105913</v>
      </c>
      <c r="J340" s="123">
        <f>(I340-H340)/H340</f>
        <v>-0.2696497252938096</v>
      </c>
      <c r="K340" s="146"/>
      <c r="L340" s="149"/>
    </row>
    <row r="341" spans="1:12" ht="10.5">
      <c r="A341" s="121" t="s">
        <v>17</v>
      </c>
      <c r="H341" s="118">
        <v>201209</v>
      </c>
      <c r="I341" s="112">
        <v>201782</v>
      </c>
      <c r="J341" s="123">
        <f>(I341-H341)/H341</f>
        <v>0.002847785138835738</v>
      </c>
      <c r="K341" s="146"/>
      <c r="L341" s="149"/>
    </row>
    <row r="342" spans="1:12" s="136" customFormat="1" ht="10.5" thickBot="1">
      <c r="A342" s="132"/>
      <c r="C342" s="140"/>
      <c r="F342" s="140"/>
      <c r="H342" s="140"/>
      <c r="I342" s="140"/>
      <c r="J342" s="135"/>
      <c r="K342" s="150"/>
      <c r="L342" s="151"/>
    </row>
    <row r="343" spans="1:12" ht="10.5" thickBot="1">
      <c r="A343" s="369" t="s">
        <v>6</v>
      </c>
      <c r="B343" s="95" t="s">
        <v>32</v>
      </c>
      <c r="C343" s="372"/>
      <c r="D343" s="97"/>
      <c r="E343" s="98" t="s">
        <v>33</v>
      </c>
      <c r="F343" s="372"/>
      <c r="G343" s="97"/>
      <c r="H343" s="98" t="s">
        <v>34</v>
      </c>
      <c r="I343" s="372"/>
      <c r="J343" s="97"/>
      <c r="K343" s="99"/>
      <c r="L343" s="112"/>
    </row>
    <row r="344" spans="1:11" ht="9.75">
      <c r="A344" s="9" t="s">
        <v>35</v>
      </c>
      <c r="B344" s="285" t="s">
        <v>200</v>
      </c>
      <c r="C344" s="308" t="s">
        <v>202</v>
      </c>
      <c r="D344" s="100" t="s">
        <v>67</v>
      </c>
      <c r="E344" s="285" t="str">
        <f>B344</f>
        <v>2018 Certified</v>
      </c>
      <c r="F344" s="308" t="s">
        <v>202</v>
      </c>
      <c r="G344" s="100" t="s">
        <v>67</v>
      </c>
      <c r="H344" s="101" t="str">
        <f>B344</f>
        <v>2018 Certified</v>
      </c>
      <c r="I344" s="384" t="s">
        <v>204</v>
      </c>
      <c r="J344" s="100" t="s">
        <v>67</v>
      </c>
      <c r="K344" s="207" t="s">
        <v>71</v>
      </c>
    </row>
    <row r="345" spans="2:12" ht="9.75">
      <c r="B345" s="103"/>
      <c r="C345" s="108"/>
      <c r="D345" s="105"/>
      <c r="E345" s="104"/>
      <c r="F345" s="108"/>
      <c r="G345" s="105"/>
      <c r="H345" s="104"/>
      <c r="I345" s="108"/>
      <c r="J345" s="105"/>
      <c r="K345" s="106"/>
      <c r="L345" s="112"/>
    </row>
    <row r="346" spans="1:11" ht="9.75">
      <c r="A346" s="9" t="s">
        <v>36</v>
      </c>
      <c r="B346" s="107">
        <v>0</v>
      </c>
      <c r="C346" s="108">
        <v>0</v>
      </c>
      <c r="D346" s="105"/>
      <c r="E346" s="108">
        <f>'2019 Certified Estimate'!E355</f>
        <v>654632490</v>
      </c>
      <c r="F346" s="108"/>
      <c r="G346" s="110">
        <f>(F346-E346)/E346</f>
        <v>-1</v>
      </c>
      <c r="H346" s="108">
        <f aca="true" t="shared" si="38" ref="H346:I356">B346+E346</f>
        <v>654632490</v>
      </c>
      <c r="I346" s="108">
        <f t="shared" si="38"/>
        <v>0</v>
      </c>
      <c r="J346" s="110">
        <f aca="true" t="shared" si="39" ref="J346:J365">(I346-H346)/H346</f>
        <v>-1</v>
      </c>
      <c r="K346" s="111" t="e">
        <f>I346/I357</f>
        <v>#DIV/0!</v>
      </c>
    </row>
    <row r="347" spans="1:11" ht="9.75">
      <c r="A347" s="9" t="s">
        <v>37</v>
      </c>
      <c r="B347" s="107">
        <v>0</v>
      </c>
      <c r="C347" s="108">
        <v>0</v>
      </c>
      <c r="D347" s="105"/>
      <c r="E347" s="108">
        <f>'2019 Certified Estimate'!E356</f>
        <v>45595840</v>
      </c>
      <c r="F347" s="108"/>
      <c r="G347" s="110">
        <f>(F347-E347)/E347</f>
        <v>-1</v>
      </c>
      <c r="H347" s="108">
        <f t="shared" si="38"/>
        <v>45595840</v>
      </c>
      <c r="I347" s="108">
        <f t="shared" si="38"/>
        <v>0</v>
      </c>
      <c r="J347" s="110">
        <f t="shared" si="39"/>
        <v>-1</v>
      </c>
      <c r="K347" s="111" t="e">
        <f>I347/I357</f>
        <v>#DIV/0!</v>
      </c>
    </row>
    <row r="348" spans="1:11" ht="9.75">
      <c r="A348" s="9" t="s">
        <v>38</v>
      </c>
      <c r="B348" s="107">
        <v>0</v>
      </c>
      <c r="C348" s="108">
        <v>0</v>
      </c>
      <c r="D348" s="105"/>
      <c r="E348" s="108">
        <f>'2019 Certified Estimate'!E357</f>
        <v>21169050</v>
      </c>
      <c r="F348" s="108"/>
      <c r="G348" s="110">
        <f>(F348-E348)/E348</f>
        <v>-1</v>
      </c>
      <c r="H348" s="108">
        <f t="shared" si="38"/>
        <v>21169050</v>
      </c>
      <c r="I348" s="108">
        <f t="shared" si="38"/>
        <v>0</v>
      </c>
      <c r="J348" s="110">
        <f t="shared" si="39"/>
        <v>-1</v>
      </c>
      <c r="K348" s="111" t="e">
        <f>I348/I357</f>
        <v>#DIV/0!</v>
      </c>
    </row>
    <row r="349" spans="1:11" ht="9.75">
      <c r="A349" s="9" t="s">
        <v>39</v>
      </c>
      <c r="B349" s="107">
        <v>0</v>
      </c>
      <c r="C349" s="108">
        <v>0</v>
      </c>
      <c r="D349" s="105"/>
      <c r="E349" s="108">
        <f>'2019 Certified Estimate'!E358</f>
        <v>16341030</v>
      </c>
      <c r="F349" s="108"/>
      <c r="G349" s="110">
        <f>(F349-E349)/E349</f>
        <v>-1</v>
      </c>
      <c r="H349" s="108">
        <f t="shared" si="38"/>
        <v>16341030</v>
      </c>
      <c r="I349" s="108">
        <f t="shared" si="38"/>
        <v>0</v>
      </c>
      <c r="J349" s="110">
        <f t="shared" si="39"/>
        <v>-1</v>
      </c>
      <c r="K349" s="111" t="e">
        <f>I349/I357</f>
        <v>#DIV/0!</v>
      </c>
    </row>
    <row r="350" spans="1:11" ht="9.75">
      <c r="A350" s="9" t="s">
        <v>40</v>
      </c>
      <c r="B350" s="107">
        <v>12926090</v>
      </c>
      <c r="C350" s="108"/>
      <c r="D350" s="110">
        <f>(C350-B350)/B350</f>
        <v>-1</v>
      </c>
      <c r="E350" s="108">
        <f>'2019 Certified Estimate'!E359</f>
        <v>203623818</v>
      </c>
      <c r="F350" s="108"/>
      <c r="G350" s="110">
        <f>(F350-E350)/E350</f>
        <v>-1</v>
      </c>
      <c r="H350" s="108">
        <f t="shared" si="38"/>
        <v>216549908</v>
      </c>
      <c r="I350" s="108">
        <f t="shared" si="38"/>
        <v>0</v>
      </c>
      <c r="J350" s="110">
        <f t="shared" si="39"/>
        <v>-1</v>
      </c>
      <c r="K350" s="111" t="e">
        <f>I350/I357</f>
        <v>#DIV/0!</v>
      </c>
    </row>
    <row r="351" spans="1:11" ht="9.75">
      <c r="A351" s="9" t="s">
        <v>41</v>
      </c>
      <c r="B351" s="152">
        <v>5554140</v>
      </c>
      <c r="C351" s="108"/>
      <c r="D351" s="110">
        <f>(C351-B351)/B351</f>
        <v>-1</v>
      </c>
      <c r="E351" s="108">
        <f>'2019 Certified Estimate'!E360</f>
        <v>0</v>
      </c>
      <c r="F351" s="108"/>
      <c r="G351" s="110">
        <v>0</v>
      </c>
      <c r="H351" s="108">
        <f t="shared" si="38"/>
        <v>5554140</v>
      </c>
      <c r="I351" s="108">
        <f t="shared" si="38"/>
        <v>0</v>
      </c>
      <c r="J351" s="110">
        <f t="shared" si="39"/>
        <v>-1</v>
      </c>
      <c r="K351" s="111" t="e">
        <f>I351/I357</f>
        <v>#DIV/0!</v>
      </c>
    </row>
    <row r="352" spans="1:11" ht="9.75">
      <c r="A352" s="9" t="s">
        <v>42</v>
      </c>
      <c r="B352" s="152">
        <v>37185690</v>
      </c>
      <c r="C352" s="108"/>
      <c r="D352" s="110">
        <f>(C352-B352)/B352</f>
        <v>-1</v>
      </c>
      <c r="E352" s="108">
        <f>'2019 Certified Estimate'!E361</f>
        <v>1310240</v>
      </c>
      <c r="F352" s="108"/>
      <c r="G352" s="110">
        <f aca="true" t="shared" si="40" ref="G352:G357">(F352-E352)/E352</f>
        <v>-1</v>
      </c>
      <c r="H352" s="108">
        <f t="shared" si="38"/>
        <v>38495930</v>
      </c>
      <c r="I352" s="108">
        <f t="shared" si="38"/>
        <v>0</v>
      </c>
      <c r="J352" s="110">
        <f t="shared" si="39"/>
        <v>-1</v>
      </c>
      <c r="K352" s="111" t="e">
        <f>I352/I357</f>
        <v>#DIV/0!</v>
      </c>
    </row>
    <row r="353" spans="1:11" ht="9.75">
      <c r="A353" s="9" t="s">
        <v>43</v>
      </c>
      <c r="B353" s="152">
        <v>67189510</v>
      </c>
      <c r="C353" s="108"/>
      <c r="D353" s="110">
        <f>(C353-B353)/B353</f>
        <v>-1</v>
      </c>
      <c r="E353" s="108">
        <f>'2019 Certified Estimate'!E362</f>
        <v>81313100</v>
      </c>
      <c r="F353" s="108"/>
      <c r="G353" s="110">
        <f t="shared" si="40"/>
        <v>-1</v>
      </c>
      <c r="H353" s="108">
        <f t="shared" si="38"/>
        <v>148502610</v>
      </c>
      <c r="I353" s="108">
        <f t="shared" si="38"/>
        <v>0</v>
      </c>
      <c r="J353" s="110">
        <f t="shared" si="39"/>
        <v>-1</v>
      </c>
      <c r="K353" s="111" t="e">
        <f>I353/I357</f>
        <v>#DIV/0!</v>
      </c>
    </row>
    <row r="354" spans="1:11" ht="9.75">
      <c r="A354" s="9" t="s">
        <v>44</v>
      </c>
      <c r="B354" s="107">
        <v>0</v>
      </c>
      <c r="C354" s="108">
        <v>0</v>
      </c>
      <c r="D354" s="110"/>
      <c r="E354" s="108">
        <f>'2019 Certified Estimate'!E363</f>
        <v>1925390</v>
      </c>
      <c r="F354" s="108"/>
      <c r="G354" s="110">
        <f t="shared" si="40"/>
        <v>-1</v>
      </c>
      <c r="H354" s="108">
        <f t="shared" si="38"/>
        <v>1925390</v>
      </c>
      <c r="I354" s="108">
        <f t="shared" si="38"/>
        <v>0</v>
      </c>
      <c r="J354" s="110">
        <f t="shared" si="39"/>
        <v>-1</v>
      </c>
      <c r="K354" s="111" t="e">
        <f>I354/I357</f>
        <v>#DIV/0!</v>
      </c>
    </row>
    <row r="355" spans="1:11" ht="9.75">
      <c r="A355" s="9" t="s">
        <v>45</v>
      </c>
      <c r="B355" s="107">
        <v>0</v>
      </c>
      <c r="C355" s="108">
        <v>0</v>
      </c>
      <c r="D355" s="110"/>
      <c r="E355" s="108">
        <f>'2019 Certified Estimate'!E364</f>
        <v>11154240</v>
      </c>
      <c r="F355" s="108"/>
      <c r="G355" s="110">
        <f t="shared" si="40"/>
        <v>-1</v>
      </c>
      <c r="H355" s="108">
        <f t="shared" si="38"/>
        <v>11154240</v>
      </c>
      <c r="I355" s="108">
        <f t="shared" si="38"/>
        <v>0</v>
      </c>
      <c r="J355" s="110">
        <f t="shared" si="39"/>
        <v>-1</v>
      </c>
      <c r="K355" s="111" t="e">
        <f>I355/I357</f>
        <v>#DIV/0!</v>
      </c>
    </row>
    <row r="356" spans="1:11" ht="10.5" thickBot="1">
      <c r="A356" s="9" t="s">
        <v>64</v>
      </c>
      <c r="B356" s="276">
        <v>0</v>
      </c>
      <c r="C356" s="277">
        <v>0</v>
      </c>
      <c r="D356" s="278"/>
      <c r="E356" s="108">
        <f>'2019 Certified Estimate'!E365</f>
        <v>214473970</v>
      </c>
      <c r="F356" s="108"/>
      <c r="G356" s="110">
        <f t="shared" si="40"/>
        <v>-1</v>
      </c>
      <c r="H356" s="108">
        <f t="shared" si="38"/>
        <v>214473970</v>
      </c>
      <c r="I356" s="108">
        <f t="shared" si="38"/>
        <v>0</v>
      </c>
      <c r="J356" s="110">
        <f t="shared" si="39"/>
        <v>-1</v>
      </c>
      <c r="K356" s="275" t="e">
        <f>I356/I357</f>
        <v>#DIV/0!</v>
      </c>
    </row>
    <row r="357" spans="1:11" ht="10.5" thickBot="1">
      <c r="A357" s="250" t="s">
        <v>47</v>
      </c>
      <c r="B357" s="259">
        <f>SUM(B346:B356)</f>
        <v>122855430</v>
      </c>
      <c r="C357" s="260">
        <f>SUM(C346:C356)</f>
        <v>0</v>
      </c>
      <c r="D357" s="265">
        <f>(C357-B357)/B357</f>
        <v>-1</v>
      </c>
      <c r="E357" s="259">
        <f>SUM(E346:E356)</f>
        <v>1251539168</v>
      </c>
      <c r="F357" s="260">
        <f>SUM(F346:F356)</f>
        <v>0</v>
      </c>
      <c r="G357" s="256">
        <f t="shared" si="40"/>
        <v>-1</v>
      </c>
      <c r="H357" s="254">
        <f>SUM(H346:H356)</f>
        <v>1374394598</v>
      </c>
      <c r="I357" s="255">
        <f>SUM(I346:I356)</f>
        <v>0</v>
      </c>
      <c r="J357" s="256">
        <f t="shared" si="39"/>
        <v>-1</v>
      </c>
      <c r="K357" s="261" t="e">
        <f>SUM(K346:K356)</f>
        <v>#DIV/0!</v>
      </c>
    </row>
    <row r="358" spans="1:10" ht="9.75">
      <c r="A358" s="113" t="str">
        <f>A16</f>
        <v>Less Minimum Value Loss</v>
      </c>
      <c r="H358" s="108">
        <f>'2019 Certified Estimate'!H367</f>
        <v>0</v>
      </c>
      <c r="I358" s="108"/>
      <c r="J358" s="117">
        <v>0</v>
      </c>
    </row>
    <row r="359" spans="1:10" ht="9.75">
      <c r="A359" s="113" t="s">
        <v>174</v>
      </c>
      <c r="H359" s="108">
        <f>'2019 Certified Estimate'!H368</f>
        <v>-1566209</v>
      </c>
      <c r="I359" s="108"/>
      <c r="J359" s="117">
        <f t="shared" si="39"/>
        <v>-1</v>
      </c>
    </row>
    <row r="360" spans="1:10" ht="10.5" thickBot="1">
      <c r="A360" s="113" t="s">
        <v>49</v>
      </c>
      <c r="H360" s="108">
        <f>'2019 Certified Estimate'!H369</f>
        <v>-10173580</v>
      </c>
      <c r="I360" s="108"/>
      <c r="J360" s="117">
        <f t="shared" si="39"/>
        <v>-1</v>
      </c>
    </row>
    <row r="361" spans="1:10" ht="10.5" thickBot="1">
      <c r="A361" s="250" t="s">
        <v>50</v>
      </c>
      <c r="B361" s="253"/>
      <c r="C361" s="260"/>
      <c r="D361" s="253"/>
      <c r="E361" s="253"/>
      <c r="F361" s="260"/>
      <c r="G361" s="253"/>
      <c r="H361" s="254">
        <f>SUM(H357:H360)</f>
        <v>1362654809</v>
      </c>
      <c r="I361" s="255">
        <f>SUM(I357:I360)</f>
        <v>0</v>
      </c>
      <c r="J361" s="256">
        <f t="shared" si="39"/>
        <v>-1</v>
      </c>
    </row>
    <row r="362" spans="1:10" ht="9.75">
      <c r="A362" s="113" t="s">
        <v>127</v>
      </c>
      <c r="H362" s="108">
        <f>'2019 Certified Estimate'!H371</f>
        <v>-286358</v>
      </c>
      <c r="I362" s="120"/>
      <c r="J362" s="117">
        <f t="shared" si="39"/>
        <v>-1</v>
      </c>
    </row>
    <row r="363" spans="1:10" ht="9.75">
      <c r="A363" s="113" t="s">
        <v>78</v>
      </c>
      <c r="H363" s="108">
        <f>'2019 Certified Estimate'!H372</f>
        <v>-6813914</v>
      </c>
      <c r="I363" s="118"/>
      <c r="J363" s="117">
        <f t="shared" si="39"/>
        <v>-1</v>
      </c>
    </row>
    <row r="364" spans="1:10" ht="9.75">
      <c r="A364" s="113" t="s">
        <v>128</v>
      </c>
      <c r="H364" s="108">
        <f>'2019 Certified Estimate'!H373</f>
        <v>-613190</v>
      </c>
      <c r="I364" s="118"/>
      <c r="J364" s="117">
        <f t="shared" si="39"/>
        <v>-1</v>
      </c>
    </row>
    <row r="365" spans="1:10" ht="9.75">
      <c r="A365" s="113" t="s">
        <v>157</v>
      </c>
      <c r="H365" s="108">
        <f>'2019 Certified Estimate'!H374</f>
        <v>-218023098</v>
      </c>
      <c r="I365" s="118"/>
      <c r="J365" s="117">
        <f t="shared" si="39"/>
        <v>-1</v>
      </c>
    </row>
    <row r="366" spans="1:10" ht="9.75">
      <c r="A366" s="113" t="s">
        <v>53</v>
      </c>
      <c r="H366" s="108">
        <f>'2019 Certified Estimate'!H375</f>
        <v>0</v>
      </c>
      <c r="I366" s="118">
        <v>0</v>
      </c>
      <c r="J366" s="117">
        <v>0</v>
      </c>
    </row>
    <row r="367" spans="1:10" ht="9.75">
      <c r="A367" s="113" t="s">
        <v>54</v>
      </c>
      <c r="H367" s="108">
        <f>'2019 Certified Estimate'!H376</f>
        <v>0</v>
      </c>
      <c r="I367" s="118">
        <v>0</v>
      </c>
      <c r="J367" s="117">
        <v>0</v>
      </c>
    </row>
    <row r="368" spans="1:10" ht="9.75">
      <c r="A368" s="113" t="s">
        <v>55</v>
      </c>
      <c r="H368" s="108">
        <f>'2019 Certified Estimate'!H377</f>
        <v>0</v>
      </c>
      <c r="I368" s="118">
        <v>0</v>
      </c>
      <c r="J368" s="117">
        <v>0</v>
      </c>
    </row>
    <row r="369" spans="1:10" ht="9.75">
      <c r="A369" s="113" t="s">
        <v>56</v>
      </c>
      <c r="H369" s="108">
        <f>'2019 Certified Estimate'!H378</f>
        <v>-8834254</v>
      </c>
      <c r="I369" s="118"/>
      <c r="J369" s="117">
        <f>(I369-H369)/H369</f>
        <v>-1</v>
      </c>
    </row>
    <row r="370" spans="1:10" ht="9.75">
      <c r="A370" s="113" t="s">
        <v>57</v>
      </c>
      <c r="H370" s="108">
        <f>'2019 Certified Estimate'!H379</f>
        <v>-90600253</v>
      </c>
      <c r="I370" s="118"/>
      <c r="J370" s="117">
        <f>(I370-H370)/H370</f>
        <v>-1</v>
      </c>
    </row>
    <row r="371" spans="1:10" ht="9.75">
      <c r="A371" s="113" t="s">
        <v>58</v>
      </c>
      <c r="H371" s="108">
        <f>'2019 Certified Estimate'!H380</f>
        <v>-21777509</v>
      </c>
      <c r="I371" s="118"/>
      <c r="J371" s="117">
        <f>(I371-H371)/H371</f>
        <v>-1</v>
      </c>
    </row>
    <row r="372" spans="1:10" ht="10.5" thickBot="1">
      <c r="A372" s="113" t="s">
        <v>59</v>
      </c>
      <c r="H372" s="108">
        <f>'2019 Certified Estimate'!H381</f>
        <v>-2563201</v>
      </c>
      <c r="I372" s="118"/>
      <c r="J372" s="117">
        <f>(I372-H372)/H372</f>
        <v>-1</v>
      </c>
    </row>
    <row r="373" spans="1:10" ht="10.5" thickBot="1">
      <c r="A373" s="250" t="s">
        <v>60</v>
      </c>
      <c r="B373" s="253"/>
      <c r="C373" s="260"/>
      <c r="D373" s="253"/>
      <c r="E373" s="253"/>
      <c r="F373" s="260"/>
      <c r="G373" s="253"/>
      <c r="H373" s="254">
        <f>SUM(H361:H372)</f>
        <v>1013143032</v>
      </c>
      <c r="I373" s="255">
        <f>SUM(I361:I372)</f>
        <v>0</v>
      </c>
      <c r="J373" s="256">
        <f>(I373-H373)/H373</f>
        <v>-1</v>
      </c>
    </row>
    <row r="374" spans="1:12" ht="10.5">
      <c r="A374" s="121" t="str">
        <f>A338</f>
        <v>2019 Adopted/2019 Revenue Neutral Tax Rate</v>
      </c>
      <c r="E374" s="138">
        <v>0.54216</v>
      </c>
      <c r="F374" s="138">
        <v>0.53001</v>
      </c>
      <c r="G374" s="123">
        <f>(F374-E374)/E374</f>
        <v>-0.022410358565737042</v>
      </c>
      <c r="H374" s="124"/>
      <c r="I374" s="125"/>
      <c r="K374" s="146"/>
      <c r="L374" s="146"/>
    </row>
    <row r="375" spans="1:12" ht="10.5">
      <c r="A375" s="146"/>
      <c r="B375" s="104"/>
      <c r="C375" s="108"/>
      <c r="D375" s="104"/>
      <c r="E375" s="104"/>
      <c r="F375" s="108"/>
      <c r="G375" s="104"/>
      <c r="H375" s="124"/>
      <c r="I375" s="125"/>
      <c r="J375" s="146"/>
      <c r="K375" s="130"/>
      <c r="L375" s="146"/>
    </row>
    <row r="376" spans="1:10" ht="10.5">
      <c r="A376" s="146"/>
      <c r="G376" s="123"/>
      <c r="H376" s="146"/>
      <c r="I376" s="108"/>
      <c r="J376" s="146"/>
    </row>
    <row r="377" spans="1:10" ht="9.75">
      <c r="A377" s="121" t="s">
        <v>62</v>
      </c>
      <c r="H377" s="268">
        <f>(H373*E374)/100</f>
        <v>5492856.2622912</v>
      </c>
      <c r="I377" s="131">
        <f>(I373*F374)/100</f>
        <v>0</v>
      </c>
      <c r="J377" s="123">
        <f>(I377-H377)/H377</f>
        <v>-1</v>
      </c>
    </row>
    <row r="378" spans="1:10" ht="9.75">
      <c r="A378" s="121" t="s">
        <v>18</v>
      </c>
      <c r="H378" s="118">
        <v>4935314</v>
      </c>
      <c r="J378" s="123">
        <f>(I378-H378)/H378</f>
        <v>-1</v>
      </c>
    </row>
    <row r="379" spans="1:10" ht="9.75">
      <c r="A379" s="121" t="s">
        <v>17</v>
      </c>
      <c r="H379" s="118">
        <v>17825</v>
      </c>
      <c r="J379" s="123">
        <f>(I379-H379)/H379</f>
        <v>-1</v>
      </c>
    </row>
    <row r="380" spans="1:10" s="136" customFormat="1" ht="10.5" thickBot="1">
      <c r="A380" s="132"/>
      <c r="C380" s="140"/>
      <c r="F380" s="140"/>
      <c r="H380" s="140"/>
      <c r="I380" s="140"/>
      <c r="J380" s="135"/>
    </row>
    <row r="381" spans="1:11" ht="10.5" thickBot="1">
      <c r="A381" s="369" t="s">
        <v>65</v>
      </c>
      <c r="B381" s="95" t="s">
        <v>32</v>
      </c>
      <c r="C381" s="372"/>
      <c r="D381" s="97"/>
      <c r="E381" s="95" t="s">
        <v>33</v>
      </c>
      <c r="F381" s="372"/>
      <c r="G381" s="97"/>
      <c r="H381" s="95" t="s">
        <v>34</v>
      </c>
      <c r="I381" s="372"/>
      <c r="J381" s="97"/>
      <c r="K381" s="99"/>
    </row>
    <row r="382" spans="1:11" ht="9.75">
      <c r="A382" s="9" t="s">
        <v>35</v>
      </c>
      <c r="B382" s="285" t="s">
        <v>200</v>
      </c>
      <c r="C382" s="308" t="s">
        <v>202</v>
      </c>
      <c r="D382" s="100" t="s">
        <v>67</v>
      </c>
      <c r="E382" s="285" t="str">
        <f>B382</f>
        <v>2018 Certified</v>
      </c>
      <c r="F382" s="308" t="s">
        <v>202</v>
      </c>
      <c r="G382" s="100" t="s">
        <v>67</v>
      </c>
      <c r="H382" s="101" t="str">
        <f>B382</f>
        <v>2018 Certified</v>
      </c>
      <c r="I382" s="384" t="s">
        <v>204</v>
      </c>
      <c r="J382" s="100" t="s">
        <v>67</v>
      </c>
      <c r="K382" s="207" t="s">
        <v>71</v>
      </c>
    </row>
    <row r="383" spans="2:11" ht="9.75">
      <c r="B383" s="103"/>
      <c r="C383" s="108"/>
      <c r="D383" s="105"/>
      <c r="E383" s="103"/>
      <c r="F383" s="108"/>
      <c r="G383" s="105"/>
      <c r="H383" s="103"/>
      <c r="I383" s="108"/>
      <c r="J383" s="105"/>
      <c r="K383" s="106"/>
    </row>
    <row r="384" spans="1:11" ht="9.75">
      <c r="A384" s="9" t="s">
        <v>36</v>
      </c>
      <c r="B384" s="107">
        <v>0</v>
      </c>
      <c r="C384" s="108">
        <v>0</v>
      </c>
      <c r="D384" s="105"/>
      <c r="E384" s="108">
        <f>'2019 Certified Estimate'!E394</f>
        <v>175910610</v>
      </c>
      <c r="F384" s="108">
        <v>180361210</v>
      </c>
      <c r="G384" s="110">
        <f>(F384-E384)/E384</f>
        <v>0.025300349990259256</v>
      </c>
      <c r="H384" s="107">
        <f aca="true" t="shared" si="41" ref="H384:I394">B384+E384</f>
        <v>175910610</v>
      </c>
      <c r="I384" s="108">
        <f>C384+F384</f>
        <v>180361210</v>
      </c>
      <c r="J384" s="110">
        <f>(I384-H384)/H384</f>
        <v>0.025300349990259256</v>
      </c>
      <c r="K384" s="111">
        <f>I384/I395</f>
        <v>0.6289051457632019</v>
      </c>
    </row>
    <row r="385" spans="1:11" ht="9.75">
      <c r="A385" s="9" t="s">
        <v>37</v>
      </c>
      <c r="B385" s="107">
        <v>0</v>
      </c>
      <c r="C385" s="108">
        <v>0</v>
      </c>
      <c r="D385" s="105"/>
      <c r="E385" s="108">
        <f>'2019 Certified Estimate'!E395</f>
        <v>27041700</v>
      </c>
      <c r="F385" s="108">
        <v>27264130</v>
      </c>
      <c r="G385" s="110">
        <f>(F385-E385)/E385</f>
        <v>0.008225444406231857</v>
      </c>
      <c r="H385" s="107">
        <f t="shared" si="41"/>
        <v>27041700</v>
      </c>
      <c r="I385" s="108">
        <f aca="true" t="shared" si="42" ref="I385:I394">C385+F385</f>
        <v>27264130</v>
      </c>
      <c r="J385" s="110">
        <f>(I385-H385)/H385</f>
        <v>0.008225444406231857</v>
      </c>
      <c r="K385" s="111">
        <f>I385/I395</f>
        <v>0.09506784552929583</v>
      </c>
    </row>
    <row r="386" spans="1:11" ht="9.75">
      <c r="A386" s="9" t="s">
        <v>38</v>
      </c>
      <c r="B386" s="107">
        <v>0</v>
      </c>
      <c r="C386" s="108">
        <v>0</v>
      </c>
      <c r="D386" s="105"/>
      <c r="E386" s="108">
        <f>'2019 Certified Estimate'!E396</f>
        <v>3316290</v>
      </c>
      <c r="F386" s="108">
        <v>3120730</v>
      </c>
      <c r="G386" s="110">
        <f>(F386-E386)/E386</f>
        <v>-0.058969511110307</v>
      </c>
      <c r="H386" s="107">
        <f t="shared" si="41"/>
        <v>3316290</v>
      </c>
      <c r="I386" s="108">
        <f t="shared" si="42"/>
        <v>3120730</v>
      </c>
      <c r="J386" s="110">
        <f>(I386-H386)/H386</f>
        <v>-0.058969511110307</v>
      </c>
      <c r="K386" s="111">
        <f>I386/I395</f>
        <v>0.010881736463941426</v>
      </c>
    </row>
    <row r="387" spans="1:11" ht="9.75">
      <c r="A387" s="9" t="s">
        <v>39</v>
      </c>
      <c r="B387" s="107">
        <v>0</v>
      </c>
      <c r="C387" s="108">
        <v>0</v>
      </c>
      <c r="D387" s="105"/>
      <c r="E387" s="108">
        <f>'2019 Certified Estimate'!E397</f>
        <v>5649430</v>
      </c>
      <c r="F387" s="108">
        <v>5680790</v>
      </c>
      <c r="G387" s="110">
        <f>(F387-E387)/E387</f>
        <v>0.005551002490516742</v>
      </c>
      <c r="H387" s="107">
        <f t="shared" si="41"/>
        <v>5649430</v>
      </c>
      <c r="I387" s="108">
        <f t="shared" si="42"/>
        <v>5680790</v>
      </c>
      <c r="J387" s="110">
        <f>(I387-H387)/H387</f>
        <v>0.005551002490516742</v>
      </c>
      <c r="K387" s="111">
        <f>I387/I395</f>
        <v>0.01980846138146966</v>
      </c>
    </row>
    <row r="388" spans="1:11" ht="9.75">
      <c r="A388" s="9" t="s">
        <v>40</v>
      </c>
      <c r="B388" s="107">
        <v>0</v>
      </c>
      <c r="C388" s="108">
        <v>0</v>
      </c>
      <c r="D388" s="105"/>
      <c r="E388" s="108">
        <f>'2019 Certified Estimate'!E398</f>
        <v>17818360</v>
      </c>
      <c r="F388" s="108">
        <v>18043290</v>
      </c>
      <c r="G388" s="110">
        <f>(F388-E388)/E388</f>
        <v>0.012623496214017451</v>
      </c>
      <c r="H388" s="107">
        <f t="shared" si="41"/>
        <v>17818360</v>
      </c>
      <c r="I388" s="108">
        <f t="shared" si="42"/>
        <v>18043290</v>
      </c>
      <c r="J388" s="110">
        <f>(I388-H388)/H388</f>
        <v>0.012623496214017451</v>
      </c>
      <c r="K388" s="111">
        <f>I388/I395</f>
        <v>0.06291551230720688</v>
      </c>
    </row>
    <row r="389" spans="1:11" ht="9.75">
      <c r="A389" s="9" t="s">
        <v>41</v>
      </c>
      <c r="B389" s="107">
        <v>0</v>
      </c>
      <c r="C389" s="108">
        <v>0</v>
      </c>
      <c r="D389" s="110" t="e">
        <f>(C389-B389)/B389</f>
        <v>#DIV/0!</v>
      </c>
      <c r="E389" s="108">
        <f>'2019 Certified Estimate'!E399</f>
        <v>0</v>
      </c>
      <c r="F389" s="108">
        <v>0</v>
      </c>
      <c r="G389" s="110">
        <v>0</v>
      </c>
      <c r="H389" s="107">
        <f t="shared" si="41"/>
        <v>0</v>
      </c>
      <c r="I389" s="108">
        <f t="shared" si="41"/>
        <v>0</v>
      </c>
      <c r="J389" s="110">
        <v>0</v>
      </c>
      <c r="K389" s="111">
        <f>I389/I395</f>
        <v>0</v>
      </c>
    </row>
    <row r="390" spans="1:11" ht="9.75">
      <c r="A390" s="9" t="s">
        <v>42</v>
      </c>
      <c r="B390" s="107">
        <v>6119540</v>
      </c>
      <c r="C390" s="108">
        <v>6441330</v>
      </c>
      <c r="D390" s="110">
        <f>(C390-B390)/B390</f>
        <v>0.05258401775296836</v>
      </c>
      <c r="E390" s="108">
        <f>'2019 Certified Estimate'!E400</f>
        <v>63170</v>
      </c>
      <c r="F390" s="108">
        <v>79440</v>
      </c>
      <c r="G390" s="110">
        <f aca="true" t="shared" si="43" ref="G390:G395">(F390-E390)/E390</f>
        <v>0.2575589678644926</v>
      </c>
      <c r="H390" s="107">
        <f t="shared" si="41"/>
        <v>6182710</v>
      </c>
      <c r="I390" s="108">
        <f t="shared" si="41"/>
        <v>6520770</v>
      </c>
      <c r="J390" s="110">
        <f>(I390-H390)/H390</f>
        <v>0.05467828832340511</v>
      </c>
      <c r="K390" s="111">
        <f>I390/I395</f>
        <v>0.022737404607888326</v>
      </c>
    </row>
    <row r="391" spans="1:11" ht="9.75">
      <c r="A391" s="9" t="s">
        <v>43</v>
      </c>
      <c r="B391" s="152">
        <v>43030</v>
      </c>
      <c r="C391" s="108">
        <v>43440</v>
      </c>
      <c r="D391" s="110">
        <f>(C391-B391)/B391</f>
        <v>0.009528236114338834</v>
      </c>
      <c r="E391" s="108">
        <f>'2019 Certified Estimate'!E401</f>
        <v>4631440</v>
      </c>
      <c r="F391" s="108">
        <v>4438640</v>
      </c>
      <c r="G391" s="110">
        <f t="shared" si="43"/>
        <v>-0.041628521582920214</v>
      </c>
      <c r="H391" s="107">
        <f t="shared" si="41"/>
        <v>4674470</v>
      </c>
      <c r="I391" s="108">
        <f t="shared" si="41"/>
        <v>4482080</v>
      </c>
      <c r="J391" s="110">
        <f>(I391-H391)/H391</f>
        <v>-0.041157607172577854</v>
      </c>
      <c r="K391" s="111">
        <f>I391/I395</f>
        <v>0.01562865527306194</v>
      </c>
    </row>
    <row r="392" spans="1:11" ht="9.75">
      <c r="A392" s="9" t="s">
        <v>44</v>
      </c>
      <c r="B392" s="107">
        <v>0</v>
      </c>
      <c r="C392" s="108">
        <v>0</v>
      </c>
      <c r="D392" s="110"/>
      <c r="E392" s="108">
        <f>'2019 Certified Estimate'!E402</f>
        <v>455480</v>
      </c>
      <c r="F392" s="108">
        <v>423190</v>
      </c>
      <c r="G392" s="110">
        <f t="shared" si="43"/>
        <v>-0.07089224554316326</v>
      </c>
      <c r="H392" s="107">
        <f t="shared" si="41"/>
        <v>455480</v>
      </c>
      <c r="I392" s="108">
        <f t="shared" si="42"/>
        <v>423190</v>
      </c>
      <c r="J392" s="110">
        <f>(I392-H392)/H392</f>
        <v>-0.07089224554316326</v>
      </c>
      <c r="K392" s="111">
        <f>I392/I395</f>
        <v>0.001475629757837228</v>
      </c>
    </row>
    <row r="393" spans="1:11" ht="9.75">
      <c r="A393" s="9" t="s">
        <v>45</v>
      </c>
      <c r="B393" s="107">
        <v>0</v>
      </c>
      <c r="C393" s="108">
        <v>0</v>
      </c>
      <c r="D393" s="110"/>
      <c r="E393" s="108">
        <f>'2019 Certified Estimate'!E403</f>
        <v>3705060</v>
      </c>
      <c r="F393" s="108">
        <v>1850370</v>
      </c>
      <c r="G393" s="110">
        <f t="shared" si="43"/>
        <v>-0.50058298651034</v>
      </c>
      <c r="H393" s="107">
        <f t="shared" si="41"/>
        <v>3705060</v>
      </c>
      <c r="I393" s="108">
        <f t="shared" si="42"/>
        <v>1850370</v>
      </c>
      <c r="J393" s="110">
        <v>0</v>
      </c>
      <c r="K393" s="111">
        <f>I393/I395</f>
        <v>0.006452092523474731</v>
      </c>
    </row>
    <row r="394" spans="1:11" ht="10.5" thickBot="1">
      <c r="A394" s="9" t="s">
        <v>46</v>
      </c>
      <c r="B394" s="276">
        <v>0</v>
      </c>
      <c r="C394" s="277">
        <v>0</v>
      </c>
      <c r="D394" s="278"/>
      <c r="E394" s="108">
        <f>'2019 Certified Estimate'!E404</f>
        <v>38655920</v>
      </c>
      <c r="F394" s="108">
        <v>39039470</v>
      </c>
      <c r="G394" s="110">
        <f t="shared" si="43"/>
        <v>0.009922154226312555</v>
      </c>
      <c r="H394" s="107">
        <f t="shared" si="41"/>
        <v>38655920</v>
      </c>
      <c r="I394" s="108">
        <f t="shared" si="42"/>
        <v>39039470</v>
      </c>
      <c r="J394" s="110">
        <f aca="true" t="shared" si="44" ref="J394:J399">(I394-H394)/H394</f>
        <v>0.009922154226312555</v>
      </c>
      <c r="K394" s="111">
        <f>I394/I395</f>
        <v>0.13612751639262205</v>
      </c>
    </row>
    <row r="395" spans="1:11" ht="10.5" thickBot="1">
      <c r="A395" s="250" t="s">
        <v>47</v>
      </c>
      <c r="B395" s="259">
        <f>SUM(B384:B394)</f>
        <v>6162570</v>
      </c>
      <c r="C395" s="260">
        <f>SUM(C384:C394)</f>
        <v>6484770</v>
      </c>
      <c r="D395" s="256">
        <f>(C395-B395)/B395</f>
        <v>0.052283381770917</v>
      </c>
      <c r="E395" s="259">
        <f>SUM(E384:E394)</f>
        <v>277247460</v>
      </c>
      <c r="F395" s="260">
        <f>SUM(F384:F394)</f>
        <v>280301260</v>
      </c>
      <c r="G395" s="256">
        <f t="shared" si="43"/>
        <v>0.011014708664959455</v>
      </c>
      <c r="H395" s="263">
        <f>SUM(H384:H394)</f>
        <v>283410030</v>
      </c>
      <c r="I395" s="255">
        <f>SUM(I384:I394)</f>
        <v>286786030</v>
      </c>
      <c r="J395" s="256">
        <f t="shared" si="44"/>
        <v>0.011912069590479914</v>
      </c>
      <c r="K395" s="261">
        <f>SUM(K384:K394)</f>
        <v>1</v>
      </c>
    </row>
    <row r="396" spans="1:10" ht="9.75">
      <c r="A396" s="113" t="str">
        <f>A16</f>
        <v>Less Minimum Value Loss</v>
      </c>
      <c r="H396" s="108">
        <f>'2019 Certified Estimate'!H406</f>
        <v>0</v>
      </c>
      <c r="I396" s="118">
        <v>0</v>
      </c>
      <c r="J396" s="117">
        <v>0</v>
      </c>
    </row>
    <row r="397" spans="1:10" ht="9.75">
      <c r="A397" s="113" t="s">
        <v>174</v>
      </c>
      <c r="H397" s="108">
        <f>'2019 Certified Estimate'!H407</f>
        <v>-297570</v>
      </c>
      <c r="I397" s="118">
        <v>-91900</v>
      </c>
      <c r="J397" s="117">
        <f t="shared" si="44"/>
        <v>-0.6911651040091407</v>
      </c>
    </row>
    <row r="398" spans="1:10" ht="10.5" thickBot="1">
      <c r="A398" s="113" t="s">
        <v>49</v>
      </c>
      <c r="H398" s="108">
        <f>'2019 Certified Estimate'!H408</f>
        <v>-1802800</v>
      </c>
      <c r="I398" s="118">
        <v>-1814140</v>
      </c>
      <c r="J398" s="117">
        <f t="shared" si="44"/>
        <v>0.006290215220767695</v>
      </c>
    </row>
    <row r="399" spans="1:10" ht="10.5" thickBot="1">
      <c r="A399" s="250" t="s">
        <v>50</v>
      </c>
      <c r="B399" s="253"/>
      <c r="C399" s="260"/>
      <c r="D399" s="253"/>
      <c r="E399" s="253"/>
      <c r="F399" s="260"/>
      <c r="G399" s="253"/>
      <c r="H399" s="254">
        <f>SUM(H395:H398)</f>
        <v>281309660</v>
      </c>
      <c r="I399" s="255">
        <f>SUM(I395:I398)</f>
        <v>284879990</v>
      </c>
      <c r="J399" s="256">
        <f t="shared" si="44"/>
        <v>0.012691814422583284</v>
      </c>
    </row>
    <row r="400" spans="1:10" ht="9.75">
      <c r="A400" s="113" t="s">
        <v>127</v>
      </c>
      <c r="H400" s="108">
        <f>'2019 Certified Estimate'!H410</f>
        <v>-370</v>
      </c>
      <c r="I400" s="120">
        <v>-4330</v>
      </c>
      <c r="J400" s="117">
        <f>(I400-H400)/H400</f>
        <v>10.702702702702704</v>
      </c>
    </row>
    <row r="401" spans="1:10" ht="9.75">
      <c r="A401" s="113" t="s">
        <v>78</v>
      </c>
      <c r="H401" s="108">
        <f>'2019 Certified Estimate'!H411</f>
        <v>0</v>
      </c>
      <c r="I401" s="120">
        <v>0</v>
      </c>
      <c r="J401" s="117">
        <v>0</v>
      </c>
    </row>
    <row r="402" spans="1:10" ht="9.75">
      <c r="A402" s="113" t="s">
        <v>128</v>
      </c>
      <c r="H402" s="108">
        <f>'2019 Certified Estimate'!H412</f>
        <v>0</v>
      </c>
      <c r="I402" s="120">
        <v>0</v>
      </c>
      <c r="J402" s="117">
        <v>0</v>
      </c>
    </row>
    <row r="403" spans="1:10" ht="9.75">
      <c r="A403" s="113" t="s">
        <v>157</v>
      </c>
      <c r="H403" s="108">
        <f>'2019 Certified Estimate'!H413</f>
        <v>-38662490</v>
      </c>
      <c r="I403" s="118">
        <v>-39046040</v>
      </c>
      <c r="J403" s="117">
        <f>(I403-H403)/H403</f>
        <v>0.00992046813332509</v>
      </c>
    </row>
    <row r="404" spans="1:10" ht="9.75">
      <c r="A404" s="113" t="s">
        <v>53</v>
      </c>
      <c r="H404" s="108">
        <f>'2019 Certified Estimate'!H414</f>
        <v>0</v>
      </c>
      <c r="I404" s="118">
        <v>0</v>
      </c>
      <c r="J404" s="117">
        <v>0</v>
      </c>
    </row>
    <row r="405" spans="1:10" ht="9.75">
      <c r="A405" s="113" t="s">
        <v>54</v>
      </c>
      <c r="H405" s="108">
        <f>'2019 Certified Estimate'!H415</f>
        <v>0</v>
      </c>
      <c r="I405" s="118">
        <v>0</v>
      </c>
      <c r="J405" s="117">
        <v>0</v>
      </c>
    </row>
    <row r="406" spans="1:10" ht="9.75">
      <c r="A406" s="113" t="s">
        <v>55</v>
      </c>
      <c r="H406" s="108">
        <f>'2019 Certified Estimate'!H416</f>
        <v>0</v>
      </c>
      <c r="I406" s="118">
        <v>0</v>
      </c>
      <c r="J406" s="117">
        <v>0</v>
      </c>
    </row>
    <row r="407" spans="1:10" ht="9.75">
      <c r="A407" s="113" t="s">
        <v>56</v>
      </c>
      <c r="H407" s="108">
        <f>'2019 Certified Estimate'!H417</f>
        <v>-2172540</v>
      </c>
      <c r="I407" s="118">
        <v>-3385820</v>
      </c>
      <c r="J407" s="117">
        <f>(I407-H407)/H407</f>
        <v>0.5584615242987471</v>
      </c>
    </row>
    <row r="408" spans="1:10" ht="9.75">
      <c r="A408" s="113" t="s">
        <v>57</v>
      </c>
      <c r="H408" s="108">
        <f>'2019 Certified Estimate'!H418</f>
        <v>0</v>
      </c>
      <c r="I408" s="120">
        <v>0</v>
      </c>
      <c r="J408" s="117">
        <v>0</v>
      </c>
    </row>
    <row r="409" spans="1:10" ht="9.75">
      <c r="A409" s="113" t="s">
        <v>58</v>
      </c>
      <c r="H409" s="108">
        <f>'2019 Certified Estimate'!H419</f>
        <v>-1935000</v>
      </c>
      <c r="I409" s="120">
        <v>-2045000</v>
      </c>
      <c r="J409" s="117">
        <f>(I409-H409)/H409</f>
        <v>0.056847545219638244</v>
      </c>
    </row>
    <row r="410" spans="1:10" ht="10.5" thickBot="1">
      <c r="A410" s="113" t="s">
        <v>59</v>
      </c>
      <c r="H410" s="108">
        <f>'2019 Certified Estimate'!H420</f>
        <v>-174073</v>
      </c>
      <c r="I410" s="120">
        <v>-154143</v>
      </c>
      <c r="J410" s="117">
        <f>(I410-H410)/H410</f>
        <v>-0.11449219580291027</v>
      </c>
    </row>
    <row r="411" spans="1:10" ht="10.5" thickBot="1">
      <c r="A411" s="250" t="s">
        <v>60</v>
      </c>
      <c r="B411" s="253"/>
      <c r="C411" s="260"/>
      <c r="D411" s="253"/>
      <c r="E411" s="253"/>
      <c r="F411" s="260"/>
      <c r="G411" s="253"/>
      <c r="H411" s="254">
        <f>SUM(H399:H410)</f>
        <v>238365187</v>
      </c>
      <c r="I411" s="255">
        <f>SUM(I399:I410)</f>
        <v>240244657</v>
      </c>
      <c r="J411" s="256">
        <f>(I411-H411)/H411</f>
        <v>0.007884834290000578</v>
      </c>
    </row>
    <row r="412" spans="1:10" ht="9.75">
      <c r="A412" s="121" t="str">
        <f>A374</f>
        <v>2019 Adopted/2019 Revenue Neutral Tax Rate</v>
      </c>
      <c r="E412" s="139">
        <v>0.376008</v>
      </c>
      <c r="F412" s="143">
        <v>0.39188</v>
      </c>
      <c r="G412" s="123">
        <f>(F412-E412)/E412</f>
        <v>0.042211867832599295</v>
      </c>
      <c r="H412" s="124"/>
      <c r="I412" s="125"/>
      <c r="J412" s="117"/>
    </row>
    <row r="413" spans="1:10" ht="10.5">
      <c r="A413" s="146"/>
      <c r="B413" s="104"/>
      <c r="C413" s="108"/>
      <c r="D413" s="104"/>
      <c r="E413" s="104"/>
      <c r="F413" s="108"/>
      <c r="G413" s="104"/>
      <c r="H413" s="124"/>
      <c r="I413" s="125"/>
      <c r="J413" s="146"/>
    </row>
    <row r="414" spans="1:11" ht="10.5">
      <c r="A414" s="146"/>
      <c r="G414" s="123"/>
      <c r="H414" s="146"/>
      <c r="I414" s="108"/>
      <c r="J414" s="146"/>
      <c r="K414" s="130"/>
    </row>
    <row r="415" spans="1:10" ht="9.75">
      <c r="A415" s="121" t="s">
        <v>62</v>
      </c>
      <c r="H415" s="318">
        <f>(H411*E412)/100</f>
        <v>896272.17233496</v>
      </c>
      <c r="I415" s="125">
        <f>(I411*F412)/100</f>
        <v>941470.7618515999</v>
      </c>
      <c r="J415" s="123">
        <f>(I415-H415)/H415</f>
        <v>0.05042953570553128</v>
      </c>
    </row>
    <row r="416" spans="1:12" ht="10.5">
      <c r="A416" s="121" t="s">
        <v>18</v>
      </c>
      <c r="H416" s="118">
        <v>11027240</v>
      </c>
      <c r="I416" s="112">
        <v>1656670</v>
      </c>
      <c r="J416" s="123">
        <f>(I416-H416)/H416</f>
        <v>-0.849765671192429</v>
      </c>
      <c r="K416" s="146"/>
      <c r="L416" s="146"/>
    </row>
    <row r="417" spans="1:12" ht="10.5">
      <c r="A417" s="121" t="s">
        <v>17</v>
      </c>
      <c r="H417" s="118">
        <v>1878</v>
      </c>
      <c r="I417" s="112">
        <v>1879</v>
      </c>
      <c r="J417" s="123">
        <f>(I417-H417)/H417</f>
        <v>0.0005324813631522897</v>
      </c>
      <c r="K417" s="146"/>
      <c r="L417" s="146"/>
    </row>
    <row r="418" spans="1:12" s="136" customFormat="1" ht="10.5" thickBot="1">
      <c r="A418" s="132"/>
      <c r="C418" s="140"/>
      <c r="F418" s="140"/>
      <c r="H418" s="140"/>
      <c r="I418" s="140"/>
      <c r="J418" s="135"/>
      <c r="K418" s="150"/>
      <c r="L418" s="150"/>
    </row>
    <row r="419" spans="1:11" s="144" customFormat="1" ht="10.5" thickBot="1">
      <c r="A419" s="369" t="s">
        <v>108</v>
      </c>
      <c r="B419" s="95" t="s">
        <v>32</v>
      </c>
      <c r="C419" s="372"/>
      <c r="D419" s="97"/>
      <c r="E419" s="95" t="s">
        <v>33</v>
      </c>
      <c r="F419" s="372"/>
      <c r="G419" s="97"/>
      <c r="H419" s="95" t="s">
        <v>34</v>
      </c>
      <c r="I419" s="372"/>
      <c r="J419" s="97"/>
      <c r="K419" s="99"/>
    </row>
    <row r="420" spans="1:11" ht="9.75">
      <c r="A420" s="9" t="s">
        <v>35</v>
      </c>
      <c r="B420" s="285" t="s">
        <v>200</v>
      </c>
      <c r="C420" s="308" t="s">
        <v>202</v>
      </c>
      <c r="D420" s="100" t="s">
        <v>67</v>
      </c>
      <c r="E420" s="285" t="str">
        <f>B420</f>
        <v>2018 Certified</v>
      </c>
      <c r="F420" s="308" t="s">
        <v>202</v>
      </c>
      <c r="G420" s="100" t="s">
        <v>67</v>
      </c>
      <c r="H420" s="101" t="str">
        <f>B420</f>
        <v>2018 Certified</v>
      </c>
      <c r="I420" s="384" t="s">
        <v>204</v>
      </c>
      <c r="J420" s="100" t="s">
        <v>67</v>
      </c>
      <c r="K420" s="207" t="s">
        <v>71</v>
      </c>
    </row>
    <row r="421" spans="1:11" s="144" customFormat="1" ht="9.75">
      <c r="A421" s="9"/>
      <c r="B421" s="103"/>
      <c r="C421" s="108"/>
      <c r="D421" s="105"/>
      <c r="E421" s="103"/>
      <c r="F421" s="108"/>
      <c r="G421" s="105"/>
      <c r="H421" s="103"/>
      <c r="I421" s="108"/>
      <c r="J421" s="105"/>
      <c r="K421" s="106"/>
    </row>
    <row r="422" spans="1:11" s="144" customFormat="1" ht="9.75">
      <c r="A422" s="9" t="s">
        <v>36</v>
      </c>
      <c r="B422" s="152">
        <v>0</v>
      </c>
      <c r="C422" s="108">
        <v>0</v>
      </c>
      <c r="D422" s="110">
        <v>0</v>
      </c>
      <c r="E422" s="108">
        <f>'2019 Certified Estimate'!E433</f>
        <v>112413630</v>
      </c>
      <c r="F422" s="108"/>
      <c r="G422" s="110">
        <f aca="true" t="shared" si="45" ref="G422:G433">(F422-E422)/E422</f>
        <v>-1</v>
      </c>
      <c r="H422" s="107">
        <f aca="true" t="shared" si="46" ref="H422:I432">B422+E422</f>
        <v>112413630</v>
      </c>
      <c r="I422" s="108">
        <f t="shared" si="46"/>
        <v>0</v>
      </c>
      <c r="J422" s="110">
        <f aca="true" t="shared" si="47" ref="J422:J449">(I422-H422)/H422</f>
        <v>-1</v>
      </c>
      <c r="K422" s="111" t="e">
        <f>I422/I433</f>
        <v>#DIV/0!</v>
      </c>
    </row>
    <row r="423" spans="1:11" s="144" customFormat="1" ht="9.75">
      <c r="A423" s="9" t="s">
        <v>37</v>
      </c>
      <c r="B423" s="152">
        <v>0</v>
      </c>
      <c r="C423" s="108">
        <v>0</v>
      </c>
      <c r="D423" s="110">
        <v>0</v>
      </c>
      <c r="E423" s="108">
        <f>'2019 Certified Estimate'!E434</f>
        <v>2347130</v>
      </c>
      <c r="F423" s="108"/>
      <c r="G423" s="110">
        <f t="shared" si="45"/>
        <v>-1</v>
      </c>
      <c r="H423" s="107">
        <f t="shared" si="46"/>
        <v>2347130</v>
      </c>
      <c r="I423" s="108">
        <f t="shared" si="46"/>
        <v>0</v>
      </c>
      <c r="J423" s="110">
        <f t="shared" si="47"/>
        <v>-1</v>
      </c>
      <c r="K423" s="111" t="e">
        <f>I423/I433</f>
        <v>#DIV/0!</v>
      </c>
    </row>
    <row r="424" spans="1:11" s="144" customFormat="1" ht="9.75">
      <c r="A424" s="9" t="s">
        <v>38</v>
      </c>
      <c r="B424" s="152">
        <v>0</v>
      </c>
      <c r="C424" s="108">
        <v>0</v>
      </c>
      <c r="D424" s="110">
        <v>0</v>
      </c>
      <c r="E424" s="108">
        <f>'2019 Certified Estimate'!E435</f>
        <v>2081420</v>
      </c>
      <c r="F424" s="108"/>
      <c r="G424" s="110">
        <f t="shared" si="45"/>
        <v>-1</v>
      </c>
      <c r="H424" s="107">
        <f t="shared" si="46"/>
        <v>2081420</v>
      </c>
      <c r="I424" s="108">
        <f t="shared" si="46"/>
        <v>0</v>
      </c>
      <c r="J424" s="110">
        <f t="shared" si="47"/>
        <v>-1</v>
      </c>
      <c r="K424" s="111" t="e">
        <f>I424/I433</f>
        <v>#DIV/0!</v>
      </c>
    </row>
    <row r="425" spans="1:11" s="144" customFormat="1" ht="9.75">
      <c r="A425" s="9" t="s">
        <v>39</v>
      </c>
      <c r="B425" s="152">
        <v>0</v>
      </c>
      <c r="C425" s="108">
        <v>0</v>
      </c>
      <c r="D425" s="110">
        <v>0</v>
      </c>
      <c r="E425" s="108">
        <f>'2019 Certified Estimate'!E436</f>
        <v>1607140</v>
      </c>
      <c r="F425" s="108"/>
      <c r="G425" s="110">
        <f t="shared" si="45"/>
        <v>-1</v>
      </c>
      <c r="H425" s="107">
        <f t="shared" si="46"/>
        <v>1607140</v>
      </c>
      <c r="I425" s="108">
        <f t="shared" si="46"/>
        <v>0</v>
      </c>
      <c r="J425" s="110">
        <f t="shared" si="47"/>
        <v>-1</v>
      </c>
      <c r="K425" s="111" t="e">
        <f>I425/I433</f>
        <v>#DIV/0!</v>
      </c>
    </row>
    <row r="426" spans="1:11" s="144" customFormat="1" ht="9.75">
      <c r="A426" s="9" t="s">
        <v>40</v>
      </c>
      <c r="B426" s="107">
        <v>24498440</v>
      </c>
      <c r="C426" s="109"/>
      <c r="D426" s="110">
        <f>(C426-B426)/B426</f>
        <v>-1</v>
      </c>
      <c r="E426" s="108">
        <f>'2019 Certified Estimate'!E437</f>
        <v>28040010</v>
      </c>
      <c r="F426" s="108"/>
      <c r="G426" s="110">
        <f t="shared" si="45"/>
        <v>-1</v>
      </c>
      <c r="H426" s="107">
        <f t="shared" si="46"/>
        <v>52538450</v>
      </c>
      <c r="I426" s="108">
        <f t="shared" si="46"/>
        <v>0</v>
      </c>
      <c r="J426" s="110">
        <f t="shared" si="47"/>
        <v>-1</v>
      </c>
      <c r="K426" s="111" t="e">
        <f>I426/I433</f>
        <v>#DIV/0!</v>
      </c>
    </row>
    <row r="427" spans="1:11" s="144" customFormat="1" ht="9.75">
      <c r="A427" s="9" t="s">
        <v>41</v>
      </c>
      <c r="B427" s="152">
        <v>29640</v>
      </c>
      <c r="C427" s="109"/>
      <c r="D427" s="110">
        <f>(C427-B427)/B427</f>
        <v>-1</v>
      </c>
      <c r="E427" s="108">
        <f>'2019 Certified Estimate'!E438</f>
        <v>0</v>
      </c>
      <c r="F427" s="108">
        <v>0</v>
      </c>
      <c r="G427" s="110">
        <v>0</v>
      </c>
      <c r="H427" s="107">
        <f t="shared" si="46"/>
        <v>29640</v>
      </c>
      <c r="I427" s="108">
        <f t="shared" si="46"/>
        <v>0</v>
      </c>
      <c r="J427" s="110">
        <v>1</v>
      </c>
      <c r="K427" s="111" t="e">
        <f>I427/I433</f>
        <v>#DIV/0!</v>
      </c>
    </row>
    <row r="428" spans="1:11" s="144" customFormat="1" ht="9.75">
      <c r="A428" s="9" t="s">
        <v>42</v>
      </c>
      <c r="B428" s="152">
        <v>6226490</v>
      </c>
      <c r="C428" s="109"/>
      <c r="D428" s="110">
        <f>(C428-B428)/B428</f>
        <v>-1</v>
      </c>
      <c r="E428" s="108">
        <f>'2019 Certified Estimate'!E439</f>
        <v>21680</v>
      </c>
      <c r="F428" s="108"/>
      <c r="G428" s="110">
        <f t="shared" si="45"/>
        <v>-1</v>
      </c>
      <c r="H428" s="107">
        <f t="shared" si="46"/>
        <v>6248170</v>
      </c>
      <c r="I428" s="108">
        <f t="shared" si="46"/>
        <v>0</v>
      </c>
      <c r="J428" s="110">
        <f t="shared" si="47"/>
        <v>-1</v>
      </c>
      <c r="K428" s="111" t="e">
        <f>I428/I433</f>
        <v>#DIV/0!</v>
      </c>
    </row>
    <row r="429" spans="1:11" s="144" customFormat="1" ht="9.75">
      <c r="A429" s="9" t="s">
        <v>43</v>
      </c>
      <c r="B429" s="152">
        <v>119475610</v>
      </c>
      <c r="C429" s="109"/>
      <c r="D429" s="110">
        <f>(C429-B429)/B429</f>
        <v>-1</v>
      </c>
      <c r="E429" s="108">
        <f>'2019 Certified Estimate'!E440</f>
        <v>14616050</v>
      </c>
      <c r="F429" s="108"/>
      <c r="G429" s="110">
        <f t="shared" si="45"/>
        <v>-1</v>
      </c>
      <c r="H429" s="107">
        <f t="shared" si="46"/>
        <v>134091660</v>
      </c>
      <c r="I429" s="108">
        <f t="shared" si="46"/>
        <v>0</v>
      </c>
      <c r="J429" s="110">
        <f t="shared" si="47"/>
        <v>-1</v>
      </c>
      <c r="K429" s="111" t="e">
        <f>I429/I433</f>
        <v>#DIV/0!</v>
      </c>
    </row>
    <row r="430" spans="1:11" s="144" customFormat="1" ht="9.75">
      <c r="A430" s="9" t="s">
        <v>44</v>
      </c>
      <c r="B430" s="152">
        <v>0</v>
      </c>
      <c r="C430" s="108"/>
      <c r="D430" s="110">
        <v>0</v>
      </c>
      <c r="E430" s="108">
        <f>'2019 Certified Estimate'!E441</f>
        <v>314270</v>
      </c>
      <c r="F430" s="108"/>
      <c r="G430" s="110">
        <f t="shared" si="45"/>
        <v>-1</v>
      </c>
      <c r="H430" s="107">
        <f t="shared" si="46"/>
        <v>314270</v>
      </c>
      <c r="I430" s="108">
        <f t="shared" si="46"/>
        <v>0</v>
      </c>
      <c r="J430" s="110">
        <f t="shared" si="47"/>
        <v>-1</v>
      </c>
      <c r="K430" s="111" t="e">
        <f>I430/I433</f>
        <v>#DIV/0!</v>
      </c>
    </row>
    <row r="431" spans="1:11" s="144" customFormat="1" ht="9.75">
      <c r="A431" s="9" t="s">
        <v>45</v>
      </c>
      <c r="B431" s="152">
        <v>0</v>
      </c>
      <c r="C431" s="108">
        <v>0</v>
      </c>
      <c r="D431" s="110">
        <v>0</v>
      </c>
      <c r="E431" s="108">
        <f>'2019 Certified Estimate'!E442</f>
        <v>3921170</v>
      </c>
      <c r="F431" s="108"/>
      <c r="G431" s="110">
        <f t="shared" si="45"/>
        <v>-1</v>
      </c>
      <c r="H431" s="107">
        <f t="shared" si="46"/>
        <v>3921170</v>
      </c>
      <c r="I431" s="108">
        <f t="shared" si="46"/>
        <v>0</v>
      </c>
      <c r="J431" s="110">
        <f t="shared" si="47"/>
        <v>-1</v>
      </c>
      <c r="K431" s="111" t="e">
        <f>I431/I433</f>
        <v>#DIV/0!</v>
      </c>
    </row>
    <row r="432" spans="1:11" s="144" customFormat="1" ht="10.5" thickBot="1">
      <c r="A432" s="9" t="s">
        <v>46</v>
      </c>
      <c r="B432" s="398">
        <v>0</v>
      </c>
      <c r="C432" s="277">
        <v>0</v>
      </c>
      <c r="D432" s="278">
        <v>0</v>
      </c>
      <c r="E432" s="108">
        <f>'2019 Certified Estimate'!E443</f>
        <v>5089230</v>
      </c>
      <c r="F432" s="108"/>
      <c r="G432" s="110">
        <f t="shared" si="45"/>
        <v>-1</v>
      </c>
      <c r="H432" s="108">
        <f t="shared" si="46"/>
        <v>5089230</v>
      </c>
      <c r="I432" s="108">
        <f t="shared" si="46"/>
        <v>0</v>
      </c>
      <c r="J432" s="110">
        <f t="shared" si="47"/>
        <v>-1</v>
      </c>
      <c r="K432" s="275" t="e">
        <f>I432/I433</f>
        <v>#DIV/0!</v>
      </c>
    </row>
    <row r="433" spans="1:11" s="144" customFormat="1" ht="10.5" thickBot="1">
      <c r="A433" s="250" t="s">
        <v>47</v>
      </c>
      <c r="B433" s="259">
        <f>SUM(B422:B432)</f>
        <v>150230180</v>
      </c>
      <c r="C433" s="260">
        <f>SUM(C422:C432)</f>
        <v>0</v>
      </c>
      <c r="D433" s="266">
        <f>(C433-B433)/B433</f>
        <v>-1</v>
      </c>
      <c r="E433" s="263">
        <f>SUM(E422:E432)</f>
        <v>170451730</v>
      </c>
      <c r="F433" s="260">
        <f>SUM(F422:F432)</f>
        <v>0</v>
      </c>
      <c r="G433" s="256">
        <f t="shared" si="45"/>
        <v>-1</v>
      </c>
      <c r="H433" s="263">
        <f>SUM(H422:H432)</f>
        <v>320681910</v>
      </c>
      <c r="I433" s="255">
        <f>SUM(C433+F433)</f>
        <v>0</v>
      </c>
      <c r="J433" s="256">
        <f t="shared" si="47"/>
        <v>-1</v>
      </c>
      <c r="K433" s="261" t="e">
        <f>SUM(K422:K432)</f>
        <v>#DIV/0!</v>
      </c>
    </row>
    <row r="434" spans="1:11" s="144" customFormat="1" ht="9.75">
      <c r="A434" s="113" t="s">
        <v>109</v>
      </c>
      <c r="B434" s="9"/>
      <c r="C434" s="112"/>
      <c r="D434" s="9"/>
      <c r="E434" s="9"/>
      <c r="F434" s="112"/>
      <c r="G434" s="9"/>
      <c r="H434" s="108">
        <f>'2019 Certified Estimate'!H445</f>
        <v>0</v>
      </c>
      <c r="I434" s="118">
        <v>0</v>
      </c>
      <c r="J434" s="126">
        <v>0</v>
      </c>
      <c r="K434" s="9"/>
    </row>
    <row r="435" spans="1:11" s="144" customFormat="1" ht="9.75">
      <c r="A435" s="113" t="s">
        <v>174</v>
      </c>
      <c r="B435" s="9"/>
      <c r="C435" s="112"/>
      <c r="D435" s="9"/>
      <c r="E435" s="9"/>
      <c r="F435" s="112"/>
      <c r="G435" s="9"/>
      <c r="H435" s="108">
        <f>'2019 Certified Estimate'!H446</f>
        <v>-184340</v>
      </c>
      <c r="I435" s="118"/>
      <c r="J435" s="126">
        <f t="shared" si="47"/>
        <v>-1</v>
      </c>
      <c r="K435" s="9"/>
    </row>
    <row r="436" spans="1:11" s="144" customFormat="1" ht="10.5" thickBot="1">
      <c r="A436" s="113" t="s">
        <v>49</v>
      </c>
      <c r="B436" s="9"/>
      <c r="C436" s="112"/>
      <c r="D436" s="9"/>
      <c r="E436" s="9"/>
      <c r="F436" s="112"/>
      <c r="G436" s="9"/>
      <c r="H436" s="108">
        <f>'2019 Certified Estimate'!H447</f>
        <v>-1406090</v>
      </c>
      <c r="I436" s="118"/>
      <c r="J436" s="126">
        <f t="shared" si="47"/>
        <v>-1</v>
      </c>
      <c r="K436" s="9"/>
    </row>
    <row r="437" spans="1:11" s="144" customFormat="1" ht="10.5" thickBot="1">
      <c r="A437" s="250" t="s">
        <v>50</v>
      </c>
      <c r="B437" s="253"/>
      <c r="C437" s="260"/>
      <c r="D437" s="253"/>
      <c r="E437" s="253"/>
      <c r="F437" s="260"/>
      <c r="G437" s="253"/>
      <c r="H437" s="255">
        <f>SUM(H433:H436)</f>
        <v>319091480</v>
      </c>
      <c r="I437" s="255">
        <f>SUM(I433:I436)</f>
        <v>0</v>
      </c>
      <c r="J437" s="256">
        <f t="shared" si="47"/>
        <v>-1</v>
      </c>
      <c r="K437" s="9"/>
    </row>
    <row r="438" spans="1:11" s="144" customFormat="1" ht="9.75">
      <c r="A438" s="113" t="s">
        <v>127</v>
      </c>
      <c r="B438" s="9"/>
      <c r="C438" s="112"/>
      <c r="D438" s="9"/>
      <c r="E438" s="9"/>
      <c r="F438" s="112"/>
      <c r="G438" s="9"/>
      <c r="H438" s="108">
        <f>'2019 Certified Estimate'!H449</f>
        <v>-1660</v>
      </c>
      <c r="I438" s="120"/>
      <c r="J438" s="126">
        <f t="shared" si="47"/>
        <v>-1</v>
      </c>
      <c r="K438" s="9"/>
    </row>
    <row r="439" spans="1:11" s="144" customFormat="1" ht="9.75">
      <c r="A439" s="113" t="s">
        <v>156</v>
      </c>
      <c r="B439" s="9"/>
      <c r="C439" s="112"/>
      <c r="D439" s="9"/>
      <c r="E439" s="9"/>
      <c r="F439" s="112"/>
      <c r="G439" s="9"/>
      <c r="H439" s="108">
        <f>'2019 Certified Estimate'!H450</f>
        <v>-232630</v>
      </c>
      <c r="I439" s="120"/>
      <c r="J439" s="126">
        <f t="shared" si="47"/>
        <v>-1</v>
      </c>
      <c r="K439" s="9"/>
    </row>
    <row r="440" spans="1:11" s="144" customFormat="1" ht="9.75">
      <c r="A440" s="113" t="s">
        <v>128</v>
      </c>
      <c r="B440" s="9"/>
      <c r="C440" s="112"/>
      <c r="D440" s="9"/>
      <c r="E440" s="9"/>
      <c r="F440" s="112"/>
      <c r="G440" s="9"/>
      <c r="H440" s="108">
        <f>'2019 Certified Estimate'!H451</f>
        <v>-2176410</v>
      </c>
      <c r="I440" s="120"/>
      <c r="J440" s="126">
        <v>0</v>
      </c>
      <c r="K440" s="9"/>
    </row>
    <row r="441" spans="1:11" s="144" customFormat="1" ht="9.75">
      <c r="A441" s="113" t="s">
        <v>157</v>
      </c>
      <c r="B441" s="9"/>
      <c r="C441" s="112"/>
      <c r="D441" s="9"/>
      <c r="E441" s="9"/>
      <c r="F441" s="112"/>
      <c r="G441" s="9"/>
      <c r="H441" s="108">
        <f>'2019 Certified Estimate'!H452</f>
        <v>-5151360</v>
      </c>
      <c r="I441" s="118"/>
      <c r="J441" s="126">
        <f t="shared" si="47"/>
        <v>-1</v>
      </c>
      <c r="K441" s="9"/>
    </row>
    <row r="442" spans="1:11" s="144" customFormat="1" ht="9.75">
      <c r="A442" s="113" t="s">
        <v>53</v>
      </c>
      <c r="B442" s="9"/>
      <c r="C442" s="112"/>
      <c r="D442" s="9"/>
      <c r="E442" s="9"/>
      <c r="F442" s="112"/>
      <c r="G442" s="9"/>
      <c r="H442" s="108">
        <f>'2019 Certified Estimate'!H453</f>
        <v>0</v>
      </c>
      <c r="I442" s="118">
        <v>0</v>
      </c>
      <c r="J442" s="126">
        <v>0</v>
      </c>
      <c r="K442" s="9"/>
    </row>
    <row r="443" spans="1:11" s="144" customFormat="1" ht="9.75">
      <c r="A443" s="113" t="s">
        <v>54</v>
      </c>
      <c r="B443" s="9"/>
      <c r="C443" s="112"/>
      <c r="D443" s="9"/>
      <c r="E443" s="9"/>
      <c r="F443" s="112"/>
      <c r="G443" s="9"/>
      <c r="H443" s="108">
        <f>'2019 Certified Estimate'!H454</f>
        <v>0</v>
      </c>
      <c r="I443" s="118">
        <v>0</v>
      </c>
      <c r="J443" s="126">
        <v>0</v>
      </c>
      <c r="K443" s="9"/>
    </row>
    <row r="444" spans="1:11" s="144" customFormat="1" ht="9.75">
      <c r="A444" s="113" t="s">
        <v>55</v>
      </c>
      <c r="B444" s="9"/>
      <c r="C444" s="112"/>
      <c r="D444" s="9"/>
      <c r="E444" s="9"/>
      <c r="F444" s="112"/>
      <c r="G444" s="9"/>
      <c r="H444" s="108">
        <f>'2019 Certified Estimate'!H455</f>
        <v>0</v>
      </c>
      <c r="I444" s="118">
        <v>0</v>
      </c>
      <c r="J444" s="126">
        <v>0</v>
      </c>
      <c r="K444" s="9"/>
    </row>
    <row r="445" spans="1:11" s="144" customFormat="1" ht="9.75">
      <c r="A445" s="113" t="s">
        <v>56</v>
      </c>
      <c r="B445" s="9"/>
      <c r="C445" s="112"/>
      <c r="D445" s="9"/>
      <c r="E445" s="9"/>
      <c r="F445" s="112"/>
      <c r="G445" s="9"/>
      <c r="H445" s="108">
        <f>'2019 Certified Estimate'!H456</f>
        <v>-1351790</v>
      </c>
      <c r="I445" s="118"/>
      <c r="J445" s="126">
        <f t="shared" si="47"/>
        <v>-1</v>
      </c>
      <c r="K445" s="9"/>
    </row>
    <row r="446" spans="1:11" s="144" customFormat="1" ht="9.75">
      <c r="A446" s="113" t="s">
        <v>57</v>
      </c>
      <c r="B446" s="9"/>
      <c r="C446" s="112"/>
      <c r="D446" s="9"/>
      <c r="E446" s="9"/>
      <c r="F446" s="112"/>
      <c r="G446" s="9"/>
      <c r="H446" s="108">
        <f>'2019 Certified Estimate'!H457</f>
        <v>0</v>
      </c>
      <c r="I446" s="118">
        <v>0</v>
      </c>
      <c r="J446" s="126">
        <v>0</v>
      </c>
      <c r="K446" s="9"/>
    </row>
    <row r="447" spans="1:11" s="144" customFormat="1" ht="9.75">
      <c r="A447" s="113" t="s">
        <v>58</v>
      </c>
      <c r="B447" s="9"/>
      <c r="C447" s="112"/>
      <c r="D447" s="9"/>
      <c r="E447" s="9"/>
      <c r="F447" s="112"/>
      <c r="G447" s="9"/>
      <c r="H447" s="108">
        <f>'2019 Certified Estimate'!H458</f>
        <v>-1593820</v>
      </c>
      <c r="I447" s="118"/>
      <c r="J447" s="126">
        <f t="shared" si="47"/>
        <v>-1</v>
      </c>
      <c r="K447" s="9"/>
    </row>
    <row r="448" spans="1:11" s="144" customFormat="1" ht="10.5" thickBot="1">
      <c r="A448" s="113" t="s">
        <v>59</v>
      </c>
      <c r="B448" s="9"/>
      <c r="C448" s="112"/>
      <c r="D448" s="9"/>
      <c r="E448" s="9"/>
      <c r="F448" s="112"/>
      <c r="G448" s="9"/>
      <c r="H448" s="108">
        <f>'2019 Certified Estimate'!H459</f>
        <v>-110000</v>
      </c>
      <c r="I448" s="120"/>
      <c r="J448" s="126">
        <f t="shared" si="47"/>
        <v>-1</v>
      </c>
      <c r="K448" s="9"/>
    </row>
    <row r="449" spans="1:11" s="144" customFormat="1" ht="10.5" thickBot="1">
      <c r="A449" s="250" t="s">
        <v>60</v>
      </c>
      <c r="B449" s="253"/>
      <c r="C449" s="260"/>
      <c r="D449" s="253"/>
      <c r="E449" s="253"/>
      <c r="F449" s="260"/>
      <c r="G449" s="253"/>
      <c r="H449" s="254">
        <f>SUM(H437:H448)</f>
        <v>308473810</v>
      </c>
      <c r="I449" s="255">
        <f>SUM(I437:I448)</f>
        <v>0</v>
      </c>
      <c r="J449" s="256">
        <f t="shared" si="47"/>
        <v>-1</v>
      </c>
      <c r="K449" s="9"/>
    </row>
    <row r="450" spans="1:11" s="144" customFormat="1" ht="10.5">
      <c r="A450" s="121" t="s">
        <v>61</v>
      </c>
      <c r="B450" s="9"/>
      <c r="C450" s="112"/>
      <c r="D450" s="9"/>
      <c r="E450" s="108">
        <f>'2019 Certified Estimate'!E461</f>
        <v>20795970</v>
      </c>
      <c r="F450" s="109"/>
      <c r="G450" s="123"/>
      <c r="H450" s="125"/>
      <c r="I450" s="118"/>
      <c r="J450" s="104"/>
      <c r="K450" s="146"/>
    </row>
    <row r="451" spans="1:11" s="144" customFormat="1" ht="10.5">
      <c r="A451" s="121" t="s">
        <v>19</v>
      </c>
      <c r="B451" s="104"/>
      <c r="C451" s="108"/>
      <c r="D451" s="104"/>
      <c r="E451" s="248">
        <f>'2019 Certified Estimate'!E462</f>
        <v>89904.36</v>
      </c>
      <c r="F451" s="404"/>
      <c r="G451" s="123"/>
      <c r="H451" s="213"/>
      <c r="I451" s="118"/>
      <c r="J451" s="154"/>
      <c r="K451" s="146"/>
    </row>
    <row r="452" spans="1:11" s="144" customFormat="1" ht="10.5">
      <c r="A452" s="121" t="s">
        <v>206</v>
      </c>
      <c r="B452" s="104"/>
      <c r="C452" s="108"/>
      <c r="D452" s="104"/>
      <c r="E452" s="129">
        <v>0.5099</v>
      </c>
      <c r="G452" s="123"/>
      <c r="H452" s="124"/>
      <c r="I452" s="125"/>
      <c r="J452" s="154"/>
      <c r="K452" s="146"/>
    </row>
    <row r="453" spans="1:11" s="144" customFormat="1" ht="9.75">
      <c r="A453" s="121" t="s">
        <v>62</v>
      </c>
      <c r="B453" s="9"/>
      <c r="C453" s="112"/>
      <c r="D453" s="9"/>
      <c r="E453" s="9"/>
      <c r="F453" s="112"/>
      <c r="G453" s="9"/>
      <c r="H453" s="125">
        <f>(H449*E452)/100</f>
        <v>1572907.9571900002</v>
      </c>
      <c r="I453" s="125">
        <f>(I449-F450)*F452/100+F451</f>
        <v>0</v>
      </c>
      <c r="J453" s="126">
        <f>(I453-H453)/H453</f>
        <v>-1</v>
      </c>
      <c r="K453" s="9"/>
    </row>
    <row r="454" spans="1:11" s="144" customFormat="1" ht="9.75">
      <c r="A454" s="121" t="s">
        <v>18</v>
      </c>
      <c r="B454" s="9"/>
      <c r="C454" s="112"/>
      <c r="D454" s="9"/>
      <c r="E454" s="9"/>
      <c r="F454" s="112"/>
      <c r="G454" s="9"/>
      <c r="H454" s="118">
        <v>4896850</v>
      </c>
      <c r="J454" s="126">
        <f>(I454-H454)/H454</f>
        <v>-1</v>
      </c>
      <c r="K454" s="9"/>
    </row>
    <row r="455" spans="1:11" s="144" customFormat="1" ht="9.75">
      <c r="A455" s="121" t="s">
        <v>17</v>
      </c>
      <c r="B455" s="9"/>
      <c r="C455" s="112"/>
      <c r="D455" s="9"/>
      <c r="E455" s="9"/>
      <c r="F455" s="112"/>
      <c r="G455" s="9"/>
      <c r="H455" s="118">
        <v>1435</v>
      </c>
      <c r="J455" s="126">
        <f>(I455-H455)/H455</f>
        <v>-1</v>
      </c>
      <c r="K455" s="9"/>
    </row>
    <row r="456" spans="1:12" s="136" customFormat="1" ht="10.5" thickBot="1">
      <c r="A456" s="132"/>
      <c r="C456" s="140"/>
      <c r="F456" s="140"/>
      <c r="H456" s="140"/>
      <c r="I456" s="140"/>
      <c r="J456" s="135"/>
      <c r="K456" s="150"/>
      <c r="L456" s="150"/>
    </row>
    <row r="457" spans="1:11" ht="10.5" thickBot="1">
      <c r="A457" s="369" t="s">
        <v>7</v>
      </c>
      <c r="B457" s="95" t="s">
        <v>32</v>
      </c>
      <c r="C457" s="372"/>
      <c r="D457" s="97"/>
      <c r="E457" s="95" t="s">
        <v>33</v>
      </c>
      <c r="F457" s="372"/>
      <c r="G457" s="97"/>
      <c r="H457" s="95" t="s">
        <v>34</v>
      </c>
      <c r="I457" s="372"/>
      <c r="J457" s="97"/>
      <c r="K457" s="99"/>
    </row>
    <row r="458" spans="1:11" ht="9.75">
      <c r="A458" s="9" t="s">
        <v>35</v>
      </c>
      <c r="B458" s="285" t="s">
        <v>200</v>
      </c>
      <c r="C458" s="308" t="s">
        <v>202</v>
      </c>
      <c r="D458" s="100" t="s">
        <v>67</v>
      </c>
      <c r="E458" s="285" t="str">
        <f>B458</f>
        <v>2018 Certified</v>
      </c>
      <c r="F458" s="308" t="s">
        <v>202</v>
      </c>
      <c r="G458" s="100" t="s">
        <v>67</v>
      </c>
      <c r="H458" s="101" t="str">
        <f>B458</f>
        <v>2018 Certified</v>
      </c>
      <c r="I458" s="384" t="s">
        <v>204</v>
      </c>
      <c r="J458" s="100" t="s">
        <v>67</v>
      </c>
      <c r="K458" s="207" t="s">
        <v>71</v>
      </c>
    </row>
    <row r="459" spans="2:11" ht="9.75">
      <c r="B459" s="103"/>
      <c r="C459" s="108"/>
      <c r="D459" s="105"/>
      <c r="E459" s="103"/>
      <c r="F459" s="108"/>
      <c r="G459" s="105"/>
      <c r="H459" s="103"/>
      <c r="I459" s="108"/>
      <c r="J459" s="105"/>
      <c r="K459" s="106"/>
    </row>
    <row r="460" spans="1:11" ht="9.75">
      <c r="A460" s="9" t="s">
        <v>36</v>
      </c>
      <c r="B460" s="107">
        <v>0</v>
      </c>
      <c r="C460" s="108">
        <v>0</v>
      </c>
      <c r="D460" s="153">
        <v>0</v>
      </c>
      <c r="E460" s="107">
        <f>'2019 Certified Estimate'!E472</f>
        <v>38867920</v>
      </c>
      <c r="F460" s="108"/>
      <c r="G460" s="110">
        <f>(F460-E460)/E460</f>
        <v>-1</v>
      </c>
      <c r="H460" s="107">
        <f aca="true" t="shared" si="48" ref="H460:I470">B460+E460</f>
        <v>38867920</v>
      </c>
      <c r="I460" s="108">
        <f t="shared" si="48"/>
        <v>0</v>
      </c>
      <c r="J460" s="110">
        <f aca="true" t="shared" si="49" ref="J460:J468">(I460-H460)/H460</f>
        <v>-1</v>
      </c>
      <c r="K460" s="111" t="e">
        <f>I460/I471</f>
        <v>#DIV/0!</v>
      </c>
    </row>
    <row r="461" spans="1:11" ht="9.75">
      <c r="A461" s="9" t="s">
        <v>37</v>
      </c>
      <c r="B461" s="107">
        <v>0</v>
      </c>
      <c r="C461" s="108">
        <v>0</v>
      </c>
      <c r="D461" s="153">
        <v>0</v>
      </c>
      <c r="E461" s="107">
        <f>'2019 Certified Estimate'!E473</f>
        <v>1640950</v>
      </c>
      <c r="F461" s="108"/>
      <c r="G461" s="110">
        <f>(F461-E461)/E461</f>
        <v>-1</v>
      </c>
      <c r="H461" s="107">
        <f t="shared" si="48"/>
        <v>1640950</v>
      </c>
      <c r="I461" s="108">
        <f t="shared" si="48"/>
        <v>0</v>
      </c>
      <c r="J461" s="110">
        <f t="shared" si="49"/>
        <v>-1</v>
      </c>
      <c r="K461" s="111" t="e">
        <f>I461/I471</f>
        <v>#DIV/0!</v>
      </c>
    </row>
    <row r="462" spans="1:11" ht="9.75">
      <c r="A462" s="9" t="s">
        <v>38</v>
      </c>
      <c r="B462" s="107">
        <v>0</v>
      </c>
      <c r="C462" s="108">
        <v>0</v>
      </c>
      <c r="D462" s="153">
        <v>0</v>
      </c>
      <c r="E462" s="107">
        <f>'2019 Certified Estimate'!E474</f>
        <v>1720480</v>
      </c>
      <c r="F462" s="108"/>
      <c r="G462" s="110">
        <f>(F462-E462)/E462</f>
        <v>-1</v>
      </c>
      <c r="H462" s="107">
        <f t="shared" si="48"/>
        <v>1720480</v>
      </c>
      <c r="I462" s="108">
        <f t="shared" si="48"/>
        <v>0</v>
      </c>
      <c r="J462" s="110">
        <f t="shared" si="49"/>
        <v>-1</v>
      </c>
      <c r="K462" s="111" t="e">
        <f>I462/I471</f>
        <v>#DIV/0!</v>
      </c>
    </row>
    <row r="463" spans="1:11" ht="9.75">
      <c r="A463" s="9" t="s">
        <v>39</v>
      </c>
      <c r="B463" s="107">
        <v>0</v>
      </c>
      <c r="C463" s="108">
        <v>0</v>
      </c>
      <c r="D463" s="153">
        <v>0</v>
      </c>
      <c r="E463" s="107">
        <f>'2019 Certified Estimate'!E475</f>
        <v>657170</v>
      </c>
      <c r="F463" s="108"/>
      <c r="G463" s="110">
        <f>(F463-E463)/E463</f>
        <v>-1</v>
      </c>
      <c r="H463" s="107">
        <f t="shared" si="48"/>
        <v>657170</v>
      </c>
      <c r="I463" s="108">
        <f t="shared" si="48"/>
        <v>0</v>
      </c>
      <c r="J463" s="110">
        <f t="shared" si="49"/>
        <v>-1</v>
      </c>
      <c r="K463" s="111" t="e">
        <f>I463/I471</f>
        <v>#DIV/0!</v>
      </c>
    </row>
    <row r="464" spans="1:11" ht="9.75">
      <c r="A464" s="9" t="s">
        <v>40</v>
      </c>
      <c r="B464" s="107">
        <v>2409650</v>
      </c>
      <c r="C464" s="108"/>
      <c r="D464" s="153">
        <f>(C464-B464)/B464</f>
        <v>-1</v>
      </c>
      <c r="E464" s="107">
        <f>'2019 Certified Estimate'!E476</f>
        <v>12350550</v>
      </c>
      <c r="F464" s="108"/>
      <c r="G464" s="110">
        <f>(F464-E464)/E464</f>
        <v>-1</v>
      </c>
      <c r="H464" s="107">
        <f t="shared" si="48"/>
        <v>14760200</v>
      </c>
      <c r="I464" s="108">
        <f t="shared" si="48"/>
        <v>0</v>
      </c>
      <c r="J464" s="110">
        <f t="shared" si="49"/>
        <v>-1</v>
      </c>
      <c r="K464" s="111" t="e">
        <f>I464/I471</f>
        <v>#DIV/0!</v>
      </c>
    </row>
    <row r="465" spans="1:11" ht="9.75">
      <c r="A465" s="9" t="s">
        <v>41</v>
      </c>
      <c r="B465" s="152">
        <v>2076270</v>
      </c>
      <c r="C465" s="108"/>
      <c r="D465" s="153">
        <f>(C465-B465)/B465</f>
        <v>-1</v>
      </c>
      <c r="E465" s="107">
        <f>'2019 Certified Estimate'!E477</f>
        <v>0</v>
      </c>
      <c r="F465" s="108">
        <v>0</v>
      </c>
      <c r="G465" s="110">
        <v>0</v>
      </c>
      <c r="H465" s="107">
        <f t="shared" si="48"/>
        <v>2076270</v>
      </c>
      <c r="I465" s="108">
        <f t="shared" si="48"/>
        <v>0</v>
      </c>
      <c r="J465" s="110">
        <f t="shared" si="49"/>
        <v>-1</v>
      </c>
      <c r="K465" s="111" t="e">
        <f>I465/I471</f>
        <v>#DIV/0!</v>
      </c>
    </row>
    <row r="466" spans="1:11" ht="9.75">
      <c r="A466" s="9" t="s">
        <v>42</v>
      </c>
      <c r="B466" s="152">
        <v>12644190</v>
      </c>
      <c r="C466" s="108"/>
      <c r="D466" s="153">
        <f>(C466-B466)/B466</f>
        <v>-1</v>
      </c>
      <c r="E466" s="107">
        <f>'2019 Certified Estimate'!E478</f>
        <v>274790</v>
      </c>
      <c r="F466" s="108"/>
      <c r="G466" s="110">
        <f aca="true" t="shared" si="50" ref="G466:G471">(F466-E466)/E466</f>
        <v>-1</v>
      </c>
      <c r="H466" s="107">
        <f t="shared" si="48"/>
        <v>12918980</v>
      </c>
      <c r="I466" s="108">
        <f t="shared" si="48"/>
        <v>0</v>
      </c>
      <c r="J466" s="110">
        <f t="shared" si="49"/>
        <v>-1</v>
      </c>
      <c r="K466" s="111" t="e">
        <f>I466/I471</f>
        <v>#DIV/0!</v>
      </c>
    </row>
    <row r="467" spans="1:11" ht="9.75">
      <c r="A467" s="9" t="s">
        <v>43</v>
      </c>
      <c r="B467" s="152">
        <v>142255820</v>
      </c>
      <c r="C467" s="108"/>
      <c r="D467" s="153">
        <f>(C467-B467)/B467</f>
        <v>-1</v>
      </c>
      <c r="E467" s="107">
        <f>'2019 Certified Estimate'!E479</f>
        <v>5146240</v>
      </c>
      <c r="F467" s="108"/>
      <c r="G467" s="110">
        <f t="shared" si="50"/>
        <v>-1</v>
      </c>
      <c r="H467" s="107">
        <f t="shared" si="48"/>
        <v>147402060</v>
      </c>
      <c r="I467" s="108">
        <f t="shared" si="48"/>
        <v>0</v>
      </c>
      <c r="J467" s="110">
        <f t="shared" si="49"/>
        <v>-1</v>
      </c>
      <c r="K467" s="111" t="e">
        <f>I467/I471</f>
        <v>#DIV/0!</v>
      </c>
    </row>
    <row r="468" spans="1:11" ht="9.75">
      <c r="A468" s="9" t="s">
        <v>44</v>
      </c>
      <c r="B468" s="107">
        <v>0</v>
      </c>
      <c r="C468" s="108">
        <v>0</v>
      </c>
      <c r="D468" s="153">
        <v>0</v>
      </c>
      <c r="E468" s="107">
        <f>'2019 Certified Estimate'!E480</f>
        <v>1402490</v>
      </c>
      <c r="F468" s="108"/>
      <c r="G468" s="110">
        <f t="shared" si="50"/>
        <v>-1</v>
      </c>
      <c r="H468" s="107">
        <f t="shared" si="48"/>
        <v>1402490</v>
      </c>
      <c r="I468" s="108">
        <f t="shared" si="48"/>
        <v>0</v>
      </c>
      <c r="J468" s="110">
        <f t="shared" si="49"/>
        <v>-1</v>
      </c>
      <c r="K468" s="111" t="e">
        <f>I468/I471</f>
        <v>#DIV/0!</v>
      </c>
    </row>
    <row r="469" spans="1:11" ht="9.75">
      <c r="A469" s="9" t="s">
        <v>45</v>
      </c>
      <c r="B469" s="107">
        <v>0</v>
      </c>
      <c r="C469" s="108">
        <v>0</v>
      </c>
      <c r="D469" s="153">
        <v>0</v>
      </c>
      <c r="E469" s="107">
        <f>'2019 Certified Estimate'!E481</f>
        <v>0</v>
      </c>
      <c r="F469" s="108">
        <v>0</v>
      </c>
      <c r="G469" s="110">
        <v>0</v>
      </c>
      <c r="H469" s="107">
        <f t="shared" si="48"/>
        <v>0</v>
      </c>
      <c r="I469" s="108">
        <f t="shared" si="48"/>
        <v>0</v>
      </c>
      <c r="J469" s="110">
        <v>0</v>
      </c>
      <c r="K469" s="111" t="e">
        <f>I469/I471</f>
        <v>#DIV/0!</v>
      </c>
    </row>
    <row r="470" spans="1:11" ht="10.5" thickBot="1">
      <c r="A470" s="9" t="s">
        <v>46</v>
      </c>
      <c r="B470" s="276">
        <v>0</v>
      </c>
      <c r="C470" s="277">
        <v>0</v>
      </c>
      <c r="D470" s="399">
        <v>0</v>
      </c>
      <c r="E470" s="107">
        <f>'2019 Certified Estimate'!E482</f>
        <v>11660010</v>
      </c>
      <c r="F470" s="108"/>
      <c r="G470" s="110">
        <f t="shared" si="50"/>
        <v>-1</v>
      </c>
      <c r="H470" s="107">
        <f t="shared" si="48"/>
        <v>11660010</v>
      </c>
      <c r="I470" s="108">
        <f t="shared" si="48"/>
        <v>0</v>
      </c>
      <c r="J470" s="110">
        <f aca="true" t="shared" si="51" ref="J470:J475">(I470-H470)/H470</f>
        <v>-1</v>
      </c>
      <c r="K470" s="275" t="e">
        <f>I470/I471</f>
        <v>#DIV/0!</v>
      </c>
    </row>
    <row r="471" spans="1:11" ht="10.5" thickBot="1">
      <c r="A471" s="250" t="s">
        <v>47</v>
      </c>
      <c r="B471" s="259">
        <f>SUM(B460:B470)</f>
        <v>159385930</v>
      </c>
      <c r="C471" s="260">
        <f>SUM(C460:C470)</f>
        <v>0</v>
      </c>
      <c r="D471" s="264">
        <f>(C471-B471)/B471</f>
        <v>-1</v>
      </c>
      <c r="E471" s="263">
        <f>SUM(E460:E470)</f>
        <v>73720600</v>
      </c>
      <c r="F471" s="260">
        <f>SUM(F460:F470)</f>
        <v>0</v>
      </c>
      <c r="G471" s="256">
        <f t="shared" si="50"/>
        <v>-1</v>
      </c>
      <c r="H471" s="263">
        <f>SUM(H460:H470)</f>
        <v>233106530</v>
      </c>
      <c r="I471" s="255">
        <f>SUM(I460:I470)</f>
        <v>0</v>
      </c>
      <c r="J471" s="256">
        <f t="shared" si="51"/>
        <v>-1</v>
      </c>
      <c r="K471" s="261" t="e">
        <f>SUM(K460:K470)</f>
        <v>#DIV/0!</v>
      </c>
    </row>
    <row r="472" spans="1:10" ht="9.75">
      <c r="A472" s="113" t="str">
        <f>A16</f>
        <v>Less Minimum Value Loss</v>
      </c>
      <c r="G472" s="104"/>
      <c r="H472" s="108">
        <f>'2019 Certified Estimate'!H484</f>
        <v>0</v>
      </c>
      <c r="I472" s="118">
        <v>0</v>
      </c>
      <c r="J472" s="117">
        <v>0</v>
      </c>
    </row>
    <row r="473" spans="1:10" ht="9.75">
      <c r="A473" s="113" t="s">
        <v>174</v>
      </c>
      <c r="G473" s="104"/>
      <c r="H473" s="108">
        <f>'2019 Certified Estimate'!H485</f>
        <v>-44300</v>
      </c>
      <c r="I473" s="118"/>
      <c r="J473" s="117">
        <f t="shared" si="51"/>
        <v>-1</v>
      </c>
    </row>
    <row r="474" spans="1:10" ht="10.5" thickBot="1">
      <c r="A474" s="113" t="s">
        <v>49</v>
      </c>
      <c r="G474" s="104"/>
      <c r="H474" s="108">
        <f>'2019 Certified Estimate'!H486</f>
        <v>-441720</v>
      </c>
      <c r="I474" s="118"/>
      <c r="J474" s="117">
        <f t="shared" si="51"/>
        <v>-1</v>
      </c>
    </row>
    <row r="475" spans="1:10" ht="10.5" thickBot="1">
      <c r="A475" s="250" t="s">
        <v>50</v>
      </c>
      <c r="B475" s="253"/>
      <c r="C475" s="260"/>
      <c r="D475" s="253"/>
      <c r="E475" s="253"/>
      <c r="F475" s="260"/>
      <c r="G475" s="253"/>
      <c r="H475" s="254">
        <f>SUM(H471:H474)</f>
        <v>232620510</v>
      </c>
      <c r="I475" s="255">
        <f>SUM(I471:I474)</f>
        <v>0</v>
      </c>
      <c r="J475" s="256">
        <f t="shared" si="51"/>
        <v>-1</v>
      </c>
    </row>
    <row r="476" spans="1:10" ht="9.75">
      <c r="A476" s="113" t="s">
        <v>127</v>
      </c>
      <c r="G476" s="104"/>
      <c r="H476" s="108">
        <f>'2019 Certified Estimate'!H488</f>
        <v>-53960</v>
      </c>
      <c r="I476" s="120"/>
      <c r="J476" s="117">
        <f>(I476-H476)/H476</f>
        <v>-1</v>
      </c>
    </row>
    <row r="477" spans="1:10" ht="9.75">
      <c r="A477" s="113" t="s">
        <v>78</v>
      </c>
      <c r="G477" s="104"/>
      <c r="H477" s="108">
        <f>'2019 Certified Estimate'!H489</f>
        <v>-130750</v>
      </c>
      <c r="I477" s="120"/>
      <c r="J477" s="117">
        <v>1</v>
      </c>
    </row>
    <row r="478" spans="1:10" ht="9.75">
      <c r="A478" s="113" t="s">
        <v>128</v>
      </c>
      <c r="G478" s="104"/>
      <c r="H478" s="108">
        <f>'2019 Certified Estimate'!H490</f>
        <v>0</v>
      </c>
      <c r="I478" s="120">
        <v>0</v>
      </c>
      <c r="J478" s="117">
        <v>0</v>
      </c>
    </row>
    <row r="479" spans="1:10" ht="9.75">
      <c r="A479" s="113" t="s">
        <v>157</v>
      </c>
      <c r="G479" s="104"/>
      <c r="H479" s="108">
        <f>'2019 Certified Estimate'!H491</f>
        <v>-11934730</v>
      </c>
      <c r="I479" s="118"/>
      <c r="J479" s="117">
        <f>(I479-H479)/H479</f>
        <v>-1</v>
      </c>
    </row>
    <row r="480" spans="1:10" ht="9.75">
      <c r="A480" s="113" t="s">
        <v>53</v>
      </c>
      <c r="G480" s="104"/>
      <c r="H480" s="108">
        <f>'2019 Certified Estimate'!H492</f>
        <v>0</v>
      </c>
      <c r="I480" s="118">
        <v>0</v>
      </c>
      <c r="J480" s="117">
        <v>0</v>
      </c>
    </row>
    <row r="481" spans="1:10" ht="9.75">
      <c r="A481" s="113" t="s">
        <v>54</v>
      </c>
      <c r="G481" s="104"/>
      <c r="H481" s="108">
        <f>'2019 Certified Estimate'!H493</f>
        <v>0</v>
      </c>
      <c r="I481" s="118">
        <v>0</v>
      </c>
      <c r="J481" s="117">
        <v>0</v>
      </c>
    </row>
    <row r="482" spans="1:10" ht="9.75">
      <c r="A482" s="113" t="s">
        <v>55</v>
      </c>
      <c r="G482" s="104"/>
      <c r="H482" s="108">
        <f>'2019 Certified Estimate'!H494</f>
        <v>0</v>
      </c>
      <c r="I482" s="118">
        <v>0</v>
      </c>
      <c r="J482" s="117">
        <v>0</v>
      </c>
    </row>
    <row r="483" spans="1:10" ht="9.75">
      <c r="A483" s="113" t="s">
        <v>56</v>
      </c>
      <c r="G483" s="104"/>
      <c r="H483" s="108">
        <f>'2019 Certified Estimate'!H495</f>
        <v>-451860</v>
      </c>
      <c r="I483" s="118"/>
      <c r="J483" s="117">
        <f>(I483-H483)/H483</f>
        <v>-1</v>
      </c>
    </row>
    <row r="484" spans="1:10" ht="9.75">
      <c r="A484" s="113" t="s">
        <v>57</v>
      </c>
      <c r="G484" s="104"/>
      <c r="H484" s="108">
        <f>'2019 Certified Estimate'!H496</f>
        <v>0</v>
      </c>
      <c r="I484" s="118">
        <v>0</v>
      </c>
      <c r="J484" s="117">
        <v>0</v>
      </c>
    </row>
    <row r="485" spans="1:10" ht="9.75">
      <c r="A485" s="113" t="s">
        <v>58</v>
      </c>
      <c r="G485" s="104"/>
      <c r="H485" s="108">
        <f>'2019 Certified Estimate'!H497</f>
        <v>-438000</v>
      </c>
      <c r="I485" s="118"/>
      <c r="J485" s="117">
        <f>(I485-H485)/H485</f>
        <v>-1</v>
      </c>
    </row>
    <row r="486" spans="1:10" ht="10.5" thickBot="1">
      <c r="A486" s="113" t="s">
        <v>59</v>
      </c>
      <c r="G486" s="104"/>
      <c r="H486" s="108">
        <f>'2019 Certified Estimate'!H498</f>
        <v>0</v>
      </c>
      <c r="I486" s="120"/>
      <c r="J486" s="117">
        <v>0</v>
      </c>
    </row>
    <row r="487" spans="1:10" ht="10.5" thickBot="1">
      <c r="A487" s="250" t="s">
        <v>60</v>
      </c>
      <c r="B487" s="253"/>
      <c r="C487" s="260"/>
      <c r="D487" s="253"/>
      <c r="E487" s="253"/>
      <c r="F487" s="260"/>
      <c r="G487" s="253"/>
      <c r="H487" s="254">
        <f>SUM(H475:H486)</f>
        <v>219611210</v>
      </c>
      <c r="I487" s="255">
        <f>SUM(I475:I486)</f>
        <v>0</v>
      </c>
      <c r="J487" s="256">
        <f>(I487-H487)/H487</f>
        <v>-1</v>
      </c>
    </row>
    <row r="488" spans="1:12" ht="10.5">
      <c r="A488" s="121" t="str">
        <f>A412</f>
        <v>2019 Adopted/2019 Revenue Neutral Tax Rate</v>
      </c>
      <c r="E488" s="141">
        <v>0.28873</v>
      </c>
      <c r="F488" s="138"/>
      <c r="G488" s="123">
        <f>(F488-E488)/E488</f>
        <v>-1</v>
      </c>
      <c r="H488" s="124"/>
      <c r="I488" s="125"/>
      <c r="K488" s="146"/>
      <c r="L488" s="146"/>
    </row>
    <row r="489" spans="1:12" ht="10.5">
      <c r="A489" s="146"/>
      <c r="B489" s="104"/>
      <c r="C489" s="108"/>
      <c r="D489" s="104"/>
      <c r="E489" s="104"/>
      <c r="F489" s="108"/>
      <c r="G489" s="104"/>
      <c r="H489" s="124"/>
      <c r="I489" s="125"/>
      <c r="J489" s="146"/>
      <c r="K489" s="146"/>
      <c r="L489" s="146"/>
    </row>
    <row r="490" spans="1:10" ht="10.5">
      <c r="A490" s="146"/>
      <c r="G490" s="123"/>
      <c r="H490" s="146"/>
      <c r="I490" s="108"/>
      <c r="J490" s="146"/>
    </row>
    <row r="491" spans="1:10" ht="9.75">
      <c r="A491" s="121" t="s">
        <v>62</v>
      </c>
      <c r="G491" s="104"/>
      <c r="H491" s="125">
        <f>(H487*E488)/100</f>
        <v>634083.446633</v>
      </c>
      <c r="I491" s="125">
        <f>(I487*F488)/100</f>
        <v>0</v>
      </c>
      <c r="J491" s="123">
        <f>(I491-H491)/H491</f>
        <v>-1</v>
      </c>
    </row>
    <row r="492" spans="1:10" ht="9.75">
      <c r="A492" s="121" t="s">
        <v>18</v>
      </c>
      <c r="G492" s="104"/>
      <c r="H492" s="118">
        <v>633890</v>
      </c>
      <c r="J492" s="123">
        <f>(I492-H492)/H492</f>
        <v>-1</v>
      </c>
    </row>
    <row r="493" spans="1:10" ht="9.75">
      <c r="A493" s="121" t="s">
        <v>17</v>
      </c>
      <c r="G493" s="104"/>
      <c r="H493" s="118">
        <v>4099</v>
      </c>
      <c r="J493" s="123">
        <f>(I493-H493)/H493</f>
        <v>-1</v>
      </c>
    </row>
    <row r="494" spans="1:10" s="136" customFormat="1" ht="10.5" thickBot="1">
      <c r="A494" s="132"/>
      <c r="C494" s="140"/>
      <c r="F494" s="140"/>
      <c r="H494" s="140"/>
      <c r="I494" s="140"/>
      <c r="J494" s="135"/>
    </row>
    <row r="495" spans="1:49" s="136" customFormat="1" ht="10.5" thickBot="1">
      <c r="A495" s="369" t="s">
        <v>88</v>
      </c>
      <c r="B495" s="95" t="s">
        <v>32</v>
      </c>
      <c r="C495" s="372"/>
      <c r="D495" s="97"/>
      <c r="E495" s="95" t="s">
        <v>33</v>
      </c>
      <c r="F495" s="372"/>
      <c r="G495" s="97"/>
      <c r="H495" s="95" t="s">
        <v>34</v>
      </c>
      <c r="I495" s="372"/>
      <c r="J495" s="96"/>
      <c r="K495" s="99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  <c r="AW495" s="144"/>
    </row>
    <row r="496" spans="1:11" ht="9.75">
      <c r="A496" s="9" t="s">
        <v>35</v>
      </c>
      <c r="B496" s="285" t="s">
        <v>200</v>
      </c>
      <c r="C496" s="308" t="s">
        <v>202</v>
      </c>
      <c r="D496" s="100" t="s">
        <v>67</v>
      </c>
      <c r="E496" s="285" t="str">
        <f>B496</f>
        <v>2018 Certified</v>
      </c>
      <c r="F496" s="308" t="s">
        <v>202</v>
      </c>
      <c r="G496" s="100" t="s">
        <v>67</v>
      </c>
      <c r="H496" s="101" t="str">
        <f>B496</f>
        <v>2018 Certified</v>
      </c>
      <c r="I496" s="384" t="s">
        <v>204</v>
      </c>
      <c r="J496" s="102" t="s">
        <v>67</v>
      </c>
      <c r="K496" s="207" t="s">
        <v>71</v>
      </c>
    </row>
    <row r="497" spans="1:49" s="136" customFormat="1" ht="9.75">
      <c r="A497" s="9"/>
      <c r="B497" s="103"/>
      <c r="C497" s="108"/>
      <c r="D497" s="105"/>
      <c r="E497" s="103"/>
      <c r="F497" s="108"/>
      <c r="G497" s="105"/>
      <c r="H497" s="103"/>
      <c r="I497" s="108"/>
      <c r="J497" s="105"/>
      <c r="K497" s="106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</row>
    <row r="498" spans="1:49" s="136" customFormat="1" ht="9.75">
      <c r="A498" s="9" t="s">
        <v>36</v>
      </c>
      <c r="B498" s="107">
        <v>0</v>
      </c>
      <c r="C498" s="109">
        <v>0</v>
      </c>
      <c r="D498" s="105"/>
      <c r="E498" s="108">
        <f>'2019 Certified Estimate'!E511</f>
        <v>374258270</v>
      </c>
      <c r="F498" s="109">
        <v>386326730</v>
      </c>
      <c r="G498" s="110">
        <f>(F498-E498)/E498</f>
        <v>0.032246341543768695</v>
      </c>
      <c r="H498" s="107">
        <f aca="true" t="shared" si="52" ref="H498:I508">B498+E498</f>
        <v>374258270</v>
      </c>
      <c r="I498" s="108">
        <f t="shared" si="52"/>
        <v>386326730</v>
      </c>
      <c r="J498" s="110">
        <f>(I498-H498)/H498</f>
        <v>0.032246341543768695</v>
      </c>
      <c r="K498" s="111">
        <f>I498/I509</f>
        <v>0.3621762083494655</v>
      </c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</row>
    <row r="499" spans="1:49" s="136" customFormat="1" ht="9.75">
      <c r="A499" s="9" t="s">
        <v>37</v>
      </c>
      <c r="B499" s="107">
        <v>0</v>
      </c>
      <c r="C499" s="109">
        <v>0</v>
      </c>
      <c r="D499" s="105"/>
      <c r="E499" s="108">
        <f>'2019 Certified Estimate'!E512</f>
        <v>3149640</v>
      </c>
      <c r="F499" s="109">
        <v>3289170</v>
      </c>
      <c r="G499" s="110">
        <f>(F499-E499)/E499</f>
        <v>0.044300300986779444</v>
      </c>
      <c r="H499" s="107">
        <f t="shared" si="52"/>
        <v>3149640</v>
      </c>
      <c r="I499" s="108">
        <f t="shared" si="52"/>
        <v>3289170</v>
      </c>
      <c r="J499" s="110">
        <f>(I499-H499)/H499</f>
        <v>0.044300300986779444</v>
      </c>
      <c r="K499" s="111">
        <f>I499/I509</f>
        <v>0.003083553445076947</v>
      </c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  <c r="AW499" s="144"/>
    </row>
    <row r="500" spans="1:49" s="136" customFormat="1" ht="9.75">
      <c r="A500" s="9" t="s">
        <v>38</v>
      </c>
      <c r="B500" s="107">
        <v>0</v>
      </c>
      <c r="C500" s="109">
        <v>0</v>
      </c>
      <c r="D500" s="105"/>
      <c r="E500" s="108">
        <f>'2019 Certified Estimate'!E513</f>
        <v>4968710</v>
      </c>
      <c r="F500" s="109">
        <v>4039330</v>
      </c>
      <c r="G500" s="110">
        <f>(F500-E500)/E500</f>
        <v>-0.18704653722998524</v>
      </c>
      <c r="H500" s="107">
        <f t="shared" si="52"/>
        <v>4968710</v>
      </c>
      <c r="I500" s="108">
        <f t="shared" si="52"/>
        <v>4039330</v>
      </c>
      <c r="J500" s="110">
        <f aca="true" t="shared" si="53" ref="J500:J506">(I500-H500)/H500</f>
        <v>-0.18704653722998524</v>
      </c>
      <c r="K500" s="111">
        <f>I500/I509</f>
        <v>0.0037868185400276254</v>
      </c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</row>
    <row r="501" spans="1:49" s="136" customFormat="1" ht="9.75">
      <c r="A501" s="9" t="s">
        <v>39</v>
      </c>
      <c r="B501" s="107">
        <v>0</v>
      </c>
      <c r="C501" s="109">
        <v>0</v>
      </c>
      <c r="D501" s="105"/>
      <c r="E501" s="108">
        <f>'2019 Certified Estimate'!E514</f>
        <v>270426180</v>
      </c>
      <c r="F501" s="109">
        <v>277319640</v>
      </c>
      <c r="G501" s="110">
        <f>(F501-E501)/E501</f>
        <v>0.025491097052807533</v>
      </c>
      <c r="H501" s="107">
        <f t="shared" si="52"/>
        <v>270426180</v>
      </c>
      <c r="I501" s="108">
        <f t="shared" si="52"/>
        <v>277319640</v>
      </c>
      <c r="J501" s="110">
        <f t="shared" si="53"/>
        <v>0.025491097052807533</v>
      </c>
      <c r="K501" s="111">
        <f>I501/I509</f>
        <v>0.259983500794881</v>
      </c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  <c r="AW501" s="144"/>
    </row>
    <row r="502" spans="1:49" s="136" customFormat="1" ht="9.75">
      <c r="A502" s="9" t="s">
        <v>40</v>
      </c>
      <c r="B502" s="152">
        <v>33056960</v>
      </c>
      <c r="C502" s="335">
        <v>30662660</v>
      </c>
      <c r="D502" s="411">
        <f>(C502-B502)/B502</f>
        <v>-0.07242952770006679</v>
      </c>
      <c r="E502" s="108">
        <f>'2019 Certified Estimate'!E515</f>
        <v>56753510</v>
      </c>
      <c r="F502" s="109">
        <v>60375540</v>
      </c>
      <c r="G502" s="110">
        <f>(F502-E502)/E502</f>
        <v>0.06382036987668252</v>
      </c>
      <c r="H502" s="107">
        <f t="shared" si="52"/>
        <v>89810470</v>
      </c>
      <c r="I502" s="108">
        <f t="shared" si="52"/>
        <v>91038200</v>
      </c>
      <c r="J502" s="110">
        <f t="shared" si="53"/>
        <v>0.01367023243503792</v>
      </c>
      <c r="K502" s="111">
        <f>I502/I509</f>
        <v>0.08534711043929141</v>
      </c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</row>
    <row r="503" spans="1:49" s="136" customFormat="1" ht="9.75">
      <c r="A503" s="9" t="s">
        <v>41</v>
      </c>
      <c r="B503" s="152">
        <v>9959450</v>
      </c>
      <c r="C503" s="335">
        <v>11933130</v>
      </c>
      <c r="D503" s="110">
        <f>(C503-B503)/B503</f>
        <v>0.19817158578033928</v>
      </c>
      <c r="E503" s="108">
        <f>'2019 Certified Estimate'!E516</f>
        <v>0</v>
      </c>
      <c r="F503" s="109">
        <v>0</v>
      </c>
      <c r="G503" s="110">
        <v>0</v>
      </c>
      <c r="H503" s="107">
        <f t="shared" si="52"/>
        <v>9959450</v>
      </c>
      <c r="I503" s="108">
        <f t="shared" si="52"/>
        <v>11933130</v>
      </c>
      <c r="J503" s="110">
        <f t="shared" si="53"/>
        <v>0.19817158578033928</v>
      </c>
      <c r="K503" s="111">
        <f>I503/I509</f>
        <v>0.011187151810958713</v>
      </c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  <c r="AW503" s="144"/>
    </row>
    <row r="504" spans="1:49" s="136" customFormat="1" ht="9.75">
      <c r="A504" s="9" t="s">
        <v>42</v>
      </c>
      <c r="B504" s="152">
        <v>31341930</v>
      </c>
      <c r="C504" s="335">
        <v>34074610</v>
      </c>
      <c r="D504" s="110">
        <f>(C504-B504)/B504</f>
        <v>0.08718927009281177</v>
      </c>
      <c r="E504" s="108">
        <f>'2019 Certified Estimate'!E517</f>
        <v>203540</v>
      </c>
      <c r="F504" s="109">
        <v>218500</v>
      </c>
      <c r="G504" s="110">
        <f aca="true" t="shared" si="54" ref="G504:G509">(F504-E504)/E504</f>
        <v>0.07349906652255085</v>
      </c>
      <c r="H504" s="107">
        <f t="shared" si="52"/>
        <v>31545470</v>
      </c>
      <c r="I504" s="108">
        <f t="shared" si="52"/>
        <v>34293110</v>
      </c>
      <c r="J504" s="110">
        <f t="shared" si="53"/>
        <v>0.08710093715516047</v>
      </c>
      <c r="K504" s="111">
        <f>I504/I509</f>
        <v>0.03214933782167012</v>
      </c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</row>
    <row r="505" spans="1:49" s="136" customFormat="1" ht="9.75">
      <c r="A505" s="9" t="s">
        <v>43</v>
      </c>
      <c r="B505" s="152">
        <v>114434700</v>
      </c>
      <c r="C505" s="335">
        <v>155387330</v>
      </c>
      <c r="D505" s="110">
        <f>(C505-B505)/B505</f>
        <v>0.35786898554372054</v>
      </c>
      <c r="E505" s="108">
        <f>'2019 Certified Estimate'!E518</f>
        <v>83011060</v>
      </c>
      <c r="F505" s="109">
        <v>80323280</v>
      </c>
      <c r="G505" s="110">
        <f t="shared" si="54"/>
        <v>-0.03237857702335086</v>
      </c>
      <c r="H505" s="107">
        <f t="shared" si="52"/>
        <v>197445760</v>
      </c>
      <c r="I505" s="108">
        <f t="shared" si="52"/>
        <v>235710610</v>
      </c>
      <c r="J505" s="110">
        <f t="shared" si="53"/>
        <v>0.19379929961524622</v>
      </c>
      <c r="K505" s="111">
        <f>I505/I509</f>
        <v>0.22097558457200103</v>
      </c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  <c r="AW505" s="144"/>
    </row>
    <row r="506" spans="1:49" s="136" customFormat="1" ht="9.75">
      <c r="A506" s="9" t="s">
        <v>44</v>
      </c>
      <c r="B506" s="107">
        <v>0</v>
      </c>
      <c r="C506" s="109">
        <v>0</v>
      </c>
      <c r="D506" s="110"/>
      <c r="E506" s="108">
        <f>'2019 Certified Estimate'!E519</f>
        <v>9723450</v>
      </c>
      <c r="F506" s="109">
        <v>9840600</v>
      </c>
      <c r="G506" s="110">
        <f t="shared" si="54"/>
        <v>0.012048192771084338</v>
      </c>
      <c r="H506" s="107">
        <f t="shared" si="52"/>
        <v>9723450</v>
      </c>
      <c r="I506" s="108">
        <f t="shared" si="52"/>
        <v>9840600</v>
      </c>
      <c r="J506" s="110">
        <f t="shared" si="53"/>
        <v>0.012048192771084338</v>
      </c>
      <c r="K506" s="111">
        <f>I506/I509</f>
        <v>0.00922543256554821</v>
      </c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  <c r="AW506" s="144"/>
    </row>
    <row r="507" spans="1:49" s="136" customFormat="1" ht="9.75">
      <c r="A507" s="9" t="s">
        <v>45</v>
      </c>
      <c r="B507" s="107">
        <v>0</v>
      </c>
      <c r="C507" s="109">
        <v>0</v>
      </c>
      <c r="D507" s="110"/>
      <c r="E507" s="108">
        <f>'2019 Certified Estimate'!E520</f>
        <v>2527370</v>
      </c>
      <c r="F507" s="109">
        <v>2775950</v>
      </c>
      <c r="G507" s="110">
        <f t="shared" si="54"/>
        <v>0.09835520719166564</v>
      </c>
      <c r="H507" s="107">
        <f t="shared" si="52"/>
        <v>2527370</v>
      </c>
      <c r="I507" s="108">
        <f t="shared" si="52"/>
        <v>2775950</v>
      </c>
      <c r="J507" s="110">
        <f>(I507-H507)/H507</f>
        <v>0.09835520719166564</v>
      </c>
      <c r="K507" s="111">
        <f>I507/I509</f>
        <v>0.002602416471590508</v>
      </c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  <c r="AW507" s="144"/>
    </row>
    <row r="508" spans="1:49" s="136" customFormat="1" ht="10.5" thickBot="1">
      <c r="A508" s="9" t="s">
        <v>46</v>
      </c>
      <c r="B508" s="276">
        <v>0</v>
      </c>
      <c r="C508" s="368">
        <v>0</v>
      </c>
      <c r="D508" s="278"/>
      <c r="E508" s="108">
        <f>'2019 Certified Estimate'!E521</f>
        <v>9794570</v>
      </c>
      <c r="F508" s="109">
        <v>10115220</v>
      </c>
      <c r="G508" s="110">
        <f t="shared" si="54"/>
        <v>0.03273752701752093</v>
      </c>
      <c r="H508" s="107">
        <f t="shared" si="52"/>
        <v>9794570</v>
      </c>
      <c r="I508" s="108">
        <f t="shared" si="52"/>
        <v>10115220</v>
      </c>
      <c r="J508" s="110">
        <f aca="true" t="shared" si="55" ref="J508:J515">(I508-H508)/H508</f>
        <v>0.03273752701752093</v>
      </c>
      <c r="K508" s="111">
        <f>I508/I509</f>
        <v>0.009482885189488909</v>
      </c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/>
      <c r="AS508" s="144"/>
      <c r="AT508" s="144"/>
      <c r="AU508" s="144"/>
      <c r="AV508" s="144"/>
      <c r="AW508" s="144"/>
    </row>
    <row r="509" spans="1:49" s="136" customFormat="1" ht="10.5" thickBot="1">
      <c r="A509" s="250" t="s">
        <v>47</v>
      </c>
      <c r="B509" s="259">
        <f>SUM(B498:B508)</f>
        <v>188793040</v>
      </c>
      <c r="C509" s="260">
        <f>SUM(C498:C508)</f>
        <v>232057730</v>
      </c>
      <c r="D509" s="256">
        <f>(C509-B509)/B509</f>
        <v>0.22916464505259304</v>
      </c>
      <c r="E509" s="259">
        <f>SUM(E498:E508)</f>
        <v>814816300</v>
      </c>
      <c r="F509" s="260">
        <f>SUM(F498:F508)</f>
        <v>834623960</v>
      </c>
      <c r="G509" s="256">
        <f t="shared" si="54"/>
        <v>0.024309356599763653</v>
      </c>
      <c r="H509" s="263">
        <f>SUM(H498:H508)</f>
        <v>1003609340</v>
      </c>
      <c r="I509" s="255">
        <f>SUM(I498:I508)</f>
        <v>1066681690</v>
      </c>
      <c r="J509" s="256">
        <f t="shared" si="55"/>
        <v>0.06284551915389708</v>
      </c>
      <c r="K509" s="261">
        <f>SUM(K498:K508)</f>
        <v>1</v>
      </c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</row>
    <row r="510" spans="1:49" s="136" customFormat="1" ht="9.75">
      <c r="A510" s="113" t="str">
        <f>A54</f>
        <v>Less Minimum Value Loss</v>
      </c>
      <c r="B510" s="9"/>
      <c r="C510" s="112"/>
      <c r="D510" s="9"/>
      <c r="E510" s="9"/>
      <c r="F510" s="112"/>
      <c r="G510" s="9"/>
      <c r="H510" s="108">
        <f>'2019 Certified Estimate'!H523</f>
        <v>0</v>
      </c>
      <c r="I510" s="118">
        <v>0</v>
      </c>
      <c r="J510" s="117">
        <v>0</v>
      </c>
      <c r="K510" s="9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</row>
    <row r="511" spans="1:49" s="136" customFormat="1" ht="9.75">
      <c r="A511" s="113" t="s">
        <v>174</v>
      </c>
      <c r="B511" s="9"/>
      <c r="C511" s="112"/>
      <c r="D511" s="9"/>
      <c r="E511" s="9"/>
      <c r="F511" s="112"/>
      <c r="G511" s="9"/>
      <c r="H511" s="108">
        <f>'2019 Certified Estimate'!H524</f>
        <v>-1394959</v>
      </c>
      <c r="I511" s="118">
        <v>-705420</v>
      </c>
      <c r="J511" s="117">
        <f t="shared" si="55"/>
        <v>-0.4943077180046152</v>
      </c>
      <c r="K511" s="9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  <c r="AW511" s="144"/>
    </row>
    <row r="512" spans="1:49" s="136" customFormat="1" ht="10.5" thickBot="1">
      <c r="A512" s="113" t="s">
        <v>49</v>
      </c>
      <c r="B512" s="9"/>
      <c r="C512" s="112"/>
      <c r="D512" s="9"/>
      <c r="E512" s="9"/>
      <c r="F512" s="112"/>
      <c r="G512" s="9"/>
      <c r="H512" s="108">
        <f>'2019 Certified Estimate'!H525</f>
        <v>-50846570</v>
      </c>
      <c r="I512" s="118">
        <v>-50557630</v>
      </c>
      <c r="J512" s="117">
        <f t="shared" si="55"/>
        <v>-0.005682585865673929</v>
      </c>
      <c r="K512" s="9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</row>
    <row r="513" spans="1:49" s="136" customFormat="1" ht="10.5" thickBot="1">
      <c r="A513" s="250" t="s">
        <v>50</v>
      </c>
      <c r="B513" s="253"/>
      <c r="C513" s="260"/>
      <c r="D513" s="253"/>
      <c r="E513" s="253"/>
      <c r="F513" s="260"/>
      <c r="G513" s="253"/>
      <c r="H513" s="254">
        <f>SUM(H509:H512)</f>
        <v>951367811</v>
      </c>
      <c r="I513" s="255">
        <f>SUM(I509:I512)</f>
        <v>1015418640</v>
      </c>
      <c r="J513" s="256">
        <f t="shared" si="55"/>
        <v>0.06732499067072178</v>
      </c>
      <c r="K513" s="9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  <c r="AU513" s="144"/>
      <c r="AV513" s="144"/>
      <c r="AW513" s="144"/>
    </row>
    <row r="514" spans="1:49" s="136" customFormat="1" ht="9.75">
      <c r="A514" s="113" t="s">
        <v>127</v>
      </c>
      <c r="B514" s="9"/>
      <c r="C514" s="112"/>
      <c r="D514" s="9"/>
      <c r="E514" s="9"/>
      <c r="F514" s="112"/>
      <c r="G514" s="9"/>
      <c r="H514" s="108">
        <f>'2019 Certified Estimate'!H527</f>
        <v>-224360</v>
      </c>
      <c r="I514" s="120">
        <v>-265450</v>
      </c>
      <c r="J514" s="117">
        <f>(I514-H514)/H514</f>
        <v>0.18314316277411302</v>
      </c>
      <c r="K514" s="9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</row>
    <row r="515" spans="1:49" s="136" customFormat="1" ht="9.75">
      <c r="A515" s="113" t="s">
        <v>78</v>
      </c>
      <c r="B515" s="9"/>
      <c r="C515" s="112"/>
      <c r="D515" s="9"/>
      <c r="E515" s="9"/>
      <c r="F515" s="112"/>
      <c r="G515" s="9"/>
      <c r="H515" s="108">
        <f>'2019 Certified Estimate'!H528</f>
        <v>-34090</v>
      </c>
      <c r="I515" s="120">
        <v>-36150</v>
      </c>
      <c r="J515" s="117">
        <f t="shared" si="55"/>
        <v>0.06042827808741567</v>
      </c>
      <c r="K515" s="9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  <c r="AW515" s="144"/>
    </row>
    <row r="516" spans="1:49" s="136" customFormat="1" ht="9.75">
      <c r="A516" s="113" t="s">
        <v>128</v>
      </c>
      <c r="B516" s="9"/>
      <c r="C516" s="112"/>
      <c r="D516" s="9"/>
      <c r="E516" s="9"/>
      <c r="F516" s="112"/>
      <c r="G516" s="9"/>
      <c r="H516" s="108">
        <f>'2019 Certified Estimate'!H529</f>
        <v>0</v>
      </c>
      <c r="I516" s="120">
        <v>0</v>
      </c>
      <c r="J516" s="117">
        <v>0</v>
      </c>
      <c r="K516" s="9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</row>
    <row r="517" spans="1:49" s="136" customFormat="1" ht="9.75">
      <c r="A517" s="113" t="s">
        <v>157</v>
      </c>
      <c r="B517" s="9"/>
      <c r="C517" s="112"/>
      <c r="D517" s="9"/>
      <c r="E517" s="9"/>
      <c r="F517" s="112"/>
      <c r="G517" s="9"/>
      <c r="H517" s="108">
        <f>'2019 Certified Estimate'!H530</f>
        <v>-9879360</v>
      </c>
      <c r="I517" s="118">
        <v>-10314060</v>
      </c>
      <c r="J517" s="117">
        <f>(I517-H517)/H517</f>
        <v>0.04400082596443494</v>
      </c>
      <c r="K517" s="9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  <c r="AW517" s="144"/>
    </row>
    <row r="518" spans="1:49" s="136" customFormat="1" ht="9.75">
      <c r="A518" s="113" t="s">
        <v>53</v>
      </c>
      <c r="B518" s="9"/>
      <c r="C518" s="112"/>
      <c r="D518" s="9"/>
      <c r="E518" s="9"/>
      <c r="F518" s="112"/>
      <c r="G518" s="9"/>
      <c r="H518" s="108">
        <f>'2019 Certified Estimate'!H531</f>
        <v>0</v>
      </c>
      <c r="I518" s="118">
        <v>0</v>
      </c>
      <c r="J518" s="117">
        <v>0</v>
      </c>
      <c r="K518" s="9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</row>
    <row r="519" spans="1:49" s="136" customFormat="1" ht="9.75">
      <c r="A519" s="113" t="s">
        <v>54</v>
      </c>
      <c r="B519" s="9"/>
      <c r="C519" s="112"/>
      <c r="D519" s="9"/>
      <c r="E519" s="9"/>
      <c r="F519" s="112"/>
      <c r="G519" s="9"/>
      <c r="H519" s="108">
        <f>'2019 Certified Estimate'!H532</f>
        <v>0</v>
      </c>
      <c r="I519" s="118">
        <v>0</v>
      </c>
      <c r="J519" s="117">
        <v>0</v>
      </c>
      <c r="K519" s="9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</row>
    <row r="520" spans="1:49" s="136" customFormat="1" ht="9.75">
      <c r="A520" s="113" t="s">
        <v>55</v>
      </c>
      <c r="B520" s="9"/>
      <c r="C520" s="112"/>
      <c r="D520" s="9"/>
      <c r="E520" s="9"/>
      <c r="F520" s="112"/>
      <c r="G520" s="9"/>
      <c r="H520" s="108">
        <f>'2019 Certified Estimate'!H533</f>
        <v>0</v>
      </c>
      <c r="I520" s="118">
        <v>0</v>
      </c>
      <c r="J520" s="117">
        <v>0</v>
      </c>
      <c r="K520" s="9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</row>
    <row r="521" spans="1:49" s="136" customFormat="1" ht="9.75">
      <c r="A521" s="113" t="s">
        <v>56</v>
      </c>
      <c r="B521" s="9"/>
      <c r="C521" s="112"/>
      <c r="D521" s="9"/>
      <c r="E521" s="9"/>
      <c r="F521" s="112"/>
      <c r="G521" s="9"/>
      <c r="H521" s="108">
        <f>'2019 Certified Estimate'!H534</f>
        <v>-3360906</v>
      </c>
      <c r="I521" s="118">
        <v>-3844572</v>
      </c>
      <c r="J521" s="117">
        <f>(I521-H521)/H521</f>
        <v>0.14390941014119407</v>
      </c>
      <c r="K521" s="9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</row>
    <row r="522" spans="1:49" s="136" customFormat="1" ht="9.75">
      <c r="A522" s="113" t="s">
        <v>57</v>
      </c>
      <c r="B522" s="9"/>
      <c r="C522" s="112"/>
      <c r="D522" s="9"/>
      <c r="E522" s="9"/>
      <c r="F522" s="112"/>
      <c r="G522" s="9"/>
      <c r="H522" s="108">
        <f>'2019 Certified Estimate'!H535</f>
        <v>-97392945</v>
      </c>
      <c r="I522" s="120">
        <v>-100901155</v>
      </c>
      <c r="J522" s="117">
        <f>(I522-H522)/H522</f>
        <v>0.03602119229478069</v>
      </c>
      <c r="K522" s="9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</row>
    <row r="523" spans="1:49" s="136" customFormat="1" ht="9.75">
      <c r="A523" s="113" t="s">
        <v>58</v>
      </c>
      <c r="B523" s="9"/>
      <c r="C523" s="112"/>
      <c r="D523" s="9"/>
      <c r="E523" s="9"/>
      <c r="F523" s="112"/>
      <c r="G523" s="9"/>
      <c r="H523" s="108">
        <f>'2019 Certified Estimate'!H536</f>
        <v>-5359674</v>
      </c>
      <c r="I523" s="120">
        <v>-5408657</v>
      </c>
      <c r="J523" s="117">
        <f>(I523-H523)/H523</f>
        <v>0.00913917525580847</v>
      </c>
      <c r="K523" s="9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</row>
    <row r="524" spans="1:49" s="136" customFormat="1" ht="10.5" thickBot="1">
      <c r="A524" s="113" t="s">
        <v>59</v>
      </c>
      <c r="B524" s="9"/>
      <c r="C524" s="112"/>
      <c r="D524" s="9"/>
      <c r="E524" s="9"/>
      <c r="F524" s="112"/>
      <c r="G524" s="9"/>
      <c r="H524" s="108">
        <f>'2019 Certified Estimate'!H537</f>
        <v>0</v>
      </c>
      <c r="I524" s="120">
        <v>0</v>
      </c>
      <c r="J524" s="117">
        <v>0</v>
      </c>
      <c r="K524" s="9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</row>
    <row r="525" spans="1:49" s="136" customFormat="1" ht="10.5" thickBot="1">
      <c r="A525" s="250" t="s">
        <v>60</v>
      </c>
      <c r="B525" s="253"/>
      <c r="C525" s="260"/>
      <c r="D525" s="253"/>
      <c r="E525" s="253"/>
      <c r="F525" s="260"/>
      <c r="G525" s="253"/>
      <c r="H525" s="254">
        <f>SUM(H513:H524)</f>
        <v>835116476</v>
      </c>
      <c r="I525" s="255">
        <f>SUM(I513:I524)</f>
        <v>894648596</v>
      </c>
      <c r="J525" s="256">
        <f>(I525-H525)/H525</f>
        <v>0.07128600825257816</v>
      </c>
      <c r="K525" s="9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</row>
    <row r="526" spans="1:49" s="136" customFormat="1" ht="10.5">
      <c r="A526" s="121" t="str">
        <f>A564</f>
        <v>2019 Adopted/2019 Revenue Neutral Tax Rate</v>
      </c>
      <c r="B526" s="9"/>
      <c r="C526" s="112"/>
      <c r="D526" s="9"/>
      <c r="E526" s="139">
        <v>0.1</v>
      </c>
      <c r="F526" s="405">
        <v>0.09334</v>
      </c>
      <c r="G526" s="123"/>
      <c r="H526" s="124"/>
      <c r="I526" s="125"/>
      <c r="J526" s="9"/>
      <c r="K526" s="146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</row>
    <row r="527" spans="1:49" s="136" customFormat="1" ht="10.5">
      <c r="A527" s="146"/>
      <c r="B527" s="104"/>
      <c r="C527" s="108"/>
      <c r="D527" s="104"/>
      <c r="E527" s="104"/>
      <c r="F527" s="108"/>
      <c r="G527" s="104"/>
      <c r="H527" s="124"/>
      <c r="I527" s="125"/>
      <c r="J527" s="146"/>
      <c r="K527" s="208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</row>
    <row r="528" spans="1:49" s="136" customFormat="1" ht="10.5">
      <c r="A528" s="146"/>
      <c r="B528" s="9"/>
      <c r="C528" s="112"/>
      <c r="D528" s="9"/>
      <c r="E528" s="9"/>
      <c r="F528" s="112"/>
      <c r="G528" s="123"/>
      <c r="H528" s="146"/>
      <c r="I528" s="108"/>
      <c r="J528" s="146"/>
      <c r="K528" s="9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  <c r="AW528" s="144"/>
    </row>
    <row r="529" spans="1:49" s="136" customFormat="1" ht="9.75">
      <c r="A529" s="121" t="s">
        <v>62</v>
      </c>
      <c r="B529" s="9"/>
      <c r="C529" s="112"/>
      <c r="D529" s="9"/>
      <c r="E529" s="9"/>
      <c r="F529" s="112"/>
      <c r="G529" s="9"/>
      <c r="H529" s="125">
        <f>(H525*E526)/100</f>
        <v>835116.4760000001</v>
      </c>
      <c r="I529" s="125">
        <f>(I525*F526)/100</f>
        <v>835064.9995064001</v>
      </c>
      <c r="J529" s="117">
        <f>(I529-H529)/H529</f>
        <v>-6.163989704360404E-05</v>
      </c>
      <c r="K529" s="9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  <c r="AW529" s="144"/>
    </row>
    <row r="530" spans="1:49" s="136" customFormat="1" ht="9.75">
      <c r="A530" s="121" t="s">
        <v>18</v>
      </c>
      <c r="B530" s="9"/>
      <c r="C530" s="112"/>
      <c r="D530" s="9"/>
      <c r="E530" s="9"/>
      <c r="F530" s="112"/>
      <c r="G530" s="9"/>
      <c r="H530" s="108">
        <f>'2019 Certified Estimate'!H543</f>
        <v>12170766</v>
      </c>
      <c r="I530" s="118">
        <v>8941214</v>
      </c>
      <c r="J530" s="117">
        <f>(I530-H530)/H530</f>
        <v>-0.2653532242752839</v>
      </c>
      <c r="K530" s="9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  <c r="AW530" s="144"/>
    </row>
    <row r="531" spans="1:49" s="136" customFormat="1" ht="9.75">
      <c r="A531" s="121" t="s">
        <v>17</v>
      </c>
      <c r="B531" s="9"/>
      <c r="C531" s="112"/>
      <c r="D531" s="9"/>
      <c r="E531" s="9"/>
      <c r="F531" s="112"/>
      <c r="G531" s="9"/>
      <c r="H531" s="108">
        <f>'2019 Certified Estimate'!H544</f>
        <v>15850</v>
      </c>
      <c r="I531" s="118">
        <v>15679</v>
      </c>
      <c r="J531" s="117">
        <f>(I531-H531)/H531</f>
        <v>-0.010788643533123029</v>
      </c>
      <c r="K531" s="9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  <c r="AW531" s="144"/>
    </row>
    <row r="532" spans="1:49" s="136" customFormat="1" ht="10.5" thickBot="1">
      <c r="A532" s="132"/>
      <c r="C532" s="140"/>
      <c r="F532" s="140"/>
      <c r="H532" s="140"/>
      <c r="I532" s="140"/>
      <c r="J532" s="206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</row>
    <row r="533" spans="1:49" s="136" customFormat="1" ht="10.5" thickBot="1">
      <c r="A533" s="267" t="s">
        <v>87</v>
      </c>
      <c r="B533" s="95" t="s">
        <v>32</v>
      </c>
      <c r="C533" s="372"/>
      <c r="D533" s="97"/>
      <c r="E533" s="95" t="s">
        <v>33</v>
      </c>
      <c r="F533" s="372"/>
      <c r="G533" s="97"/>
      <c r="H533" s="95" t="s">
        <v>34</v>
      </c>
      <c r="I533" s="372"/>
      <c r="J533" s="231"/>
      <c r="K533" s="99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  <c r="AQ533" s="144"/>
      <c r="AR533" s="144"/>
      <c r="AS533" s="144"/>
      <c r="AT533" s="144"/>
      <c r="AU533" s="144"/>
      <c r="AV533" s="144"/>
      <c r="AW533" s="144"/>
    </row>
    <row r="534" spans="1:11" ht="9.75">
      <c r="A534" s="9" t="s">
        <v>35</v>
      </c>
      <c r="B534" s="285" t="s">
        <v>200</v>
      </c>
      <c r="C534" s="308" t="s">
        <v>202</v>
      </c>
      <c r="D534" s="100" t="s">
        <v>67</v>
      </c>
      <c r="E534" s="285" t="str">
        <f>B534</f>
        <v>2018 Certified</v>
      </c>
      <c r="F534" s="308" t="s">
        <v>202</v>
      </c>
      <c r="G534" s="100" t="s">
        <v>67</v>
      </c>
      <c r="H534" s="101" t="str">
        <f>B534</f>
        <v>2018 Certified</v>
      </c>
      <c r="I534" s="384" t="s">
        <v>204</v>
      </c>
      <c r="J534" s="100" t="s">
        <v>67</v>
      </c>
      <c r="K534" s="207" t="s">
        <v>71</v>
      </c>
    </row>
    <row r="535" spans="1:49" s="136" customFormat="1" ht="9.75">
      <c r="A535" s="93" t="s">
        <v>85</v>
      </c>
      <c r="B535" s="103"/>
      <c r="C535" s="108"/>
      <c r="D535" s="105"/>
      <c r="E535" s="103"/>
      <c r="F535" s="108"/>
      <c r="G535" s="105"/>
      <c r="H535" s="103"/>
      <c r="I535" s="108"/>
      <c r="J535" s="105"/>
      <c r="K535" s="106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  <c r="AQ535" s="144"/>
      <c r="AR535" s="144"/>
      <c r="AS535" s="144"/>
      <c r="AT535" s="144"/>
      <c r="AU535" s="144"/>
      <c r="AV535" s="144"/>
      <c r="AW535" s="144"/>
    </row>
    <row r="536" spans="1:49" s="136" customFormat="1" ht="9.75">
      <c r="A536" s="9" t="s">
        <v>36</v>
      </c>
      <c r="B536" s="107">
        <v>0</v>
      </c>
      <c r="C536" s="109">
        <v>0</v>
      </c>
      <c r="D536" s="105"/>
      <c r="E536" s="335">
        <v>13947730</v>
      </c>
      <c r="F536" s="323">
        <v>14062060</v>
      </c>
      <c r="G536" s="110">
        <f>(F536-E536)/E536</f>
        <v>0.008197032778810603</v>
      </c>
      <c r="H536" s="107">
        <f>B536+E536</f>
        <v>13947730</v>
      </c>
      <c r="I536" s="108">
        <f>C536+F536</f>
        <v>14062060</v>
      </c>
      <c r="J536" s="110">
        <f aca="true" t="shared" si="56" ref="J536:J546">(I536-H536)/H536</f>
        <v>0.008197032778810603</v>
      </c>
      <c r="K536" s="111">
        <f>I536/I547</f>
        <v>0.055481647852358054</v>
      </c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</row>
    <row r="537" spans="1:49" s="136" customFormat="1" ht="9.75">
      <c r="A537" s="9" t="s">
        <v>37</v>
      </c>
      <c r="B537" s="107">
        <v>0</v>
      </c>
      <c r="C537" s="109">
        <v>0</v>
      </c>
      <c r="D537" s="105"/>
      <c r="E537" s="335">
        <v>0</v>
      </c>
      <c r="F537" s="323">
        <v>0</v>
      </c>
      <c r="G537" s="110">
        <v>0</v>
      </c>
      <c r="H537" s="107">
        <f aca="true" t="shared" si="57" ref="H537:H546">B537+E537</f>
        <v>0</v>
      </c>
      <c r="I537" s="108">
        <f aca="true" t="shared" si="58" ref="I537:I546">C537+F537</f>
        <v>0</v>
      </c>
      <c r="J537" s="110">
        <v>0</v>
      </c>
      <c r="K537" s="111">
        <f>I537/I547</f>
        <v>0</v>
      </c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  <c r="AQ537" s="144"/>
      <c r="AR537" s="144"/>
      <c r="AS537" s="144"/>
      <c r="AT537" s="144"/>
      <c r="AU537" s="144"/>
      <c r="AV537" s="144"/>
      <c r="AW537" s="144"/>
    </row>
    <row r="538" spans="1:49" s="136" customFormat="1" ht="9.75">
      <c r="A538" s="9" t="s">
        <v>38</v>
      </c>
      <c r="B538" s="107">
        <v>0</v>
      </c>
      <c r="C538" s="109">
        <v>0</v>
      </c>
      <c r="D538" s="105"/>
      <c r="E538" s="335">
        <v>436220</v>
      </c>
      <c r="F538" s="323">
        <v>404570</v>
      </c>
      <c r="G538" s="110">
        <f>(F538-E538)/E538</f>
        <v>-0.07255513273119069</v>
      </c>
      <c r="H538" s="107">
        <f t="shared" si="57"/>
        <v>436220</v>
      </c>
      <c r="I538" s="108">
        <f t="shared" si="58"/>
        <v>404570</v>
      </c>
      <c r="J538" s="110">
        <f t="shared" si="56"/>
        <v>-0.07255513273119069</v>
      </c>
      <c r="K538" s="111">
        <f>I538/I547</f>
        <v>0.0015962248967525737</v>
      </c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</row>
    <row r="539" spans="1:49" s="136" customFormat="1" ht="9.75">
      <c r="A539" s="9" t="s">
        <v>39</v>
      </c>
      <c r="B539" s="107">
        <v>0</v>
      </c>
      <c r="C539" s="109">
        <v>0</v>
      </c>
      <c r="D539" s="105"/>
      <c r="E539" s="335">
        <v>148270220</v>
      </c>
      <c r="F539" s="323">
        <v>151120240</v>
      </c>
      <c r="G539" s="110">
        <f>(F539-E539)/E539</f>
        <v>0.019221796527987885</v>
      </c>
      <c r="H539" s="107">
        <f t="shared" si="57"/>
        <v>148270220</v>
      </c>
      <c r="I539" s="108">
        <f t="shared" si="58"/>
        <v>151120240</v>
      </c>
      <c r="J539" s="110">
        <f t="shared" si="56"/>
        <v>0.019221796527987885</v>
      </c>
      <c r="K539" s="111">
        <f>I539/I547</f>
        <v>0.5962426514354109</v>
      </c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  <c r="AQ539" s="144"/>
      <c r="AR539" s="144"/>
      <c r="AS539" s="144"/>
      <c r="AT539" s="144"/>
      <c r="AU539" s="144"/>
      <c r="AV539" s="144"/>
      <c r="AW539" s="144"/>
    </row>
    <row r="540" spans="1:49" s="136" customFormat="1" ht="9.75">
      <c r="A540" s="9" t="s">
        <v>40</v>
      </c>
      <c r="B540" s="107">
        <v>411030</v>
      </c>
      <c r="C540" s="109">
        <v>370390</v>
      </c>
      <c r="D540" s="406">
        <f>(C540-B540)/B540</f>
        <v>-0.09887356154052016</v>
      </c>
      <c r="E540" s="335">
        <v>2246520</v>
      </c>
      <c r="F540" s="323">
        <v>2976350</v>
      </c>
      <c r="G540" s="110">
        <f>(F540-E540)/E540</f>
        <v>0.3248713565870769</v>
      </c>
      <c r="H540" s="107">
        <f t="shared" si="57"/>
        <v>2657550</v>
      </c>
      <c r="I540" s="108">
        <f t="shared" si="58"/>
        <v>3346740</v>
      </c>
      <c r="J540" s="110">
        <f t="shared" si="56"/>
        <v>0.25933284416097535</v>
      </c>
      <c r="K540" s="111">
        <f>I540/I547</f>
        <v>0.01320451271957315</v>
      </c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  <c r="AQ540" s="144"/>
      <c r="AR540" s="144"/>
      <c r="AS540" s="144"/>
      <c r="AT540" s="144"/>
      <c r="AU540" s="144"/>
      <c r="AV540" s="144"/>
      <c r="AW540" s="144"/>
    </row>
    <row r="541" spans="1:49" s="136" customFormat="1" ht="9.75">
      <c r="A541" s="9" t="s">
        <v>41</v>
      </c>
      <c r="B541" s="107">
        <v>38712590</v>
      </c>
      <c r="C541" s="109">
        <v>34014530</v>
      </c>
      <c r="D541" s="110">
        <f>(C541-B541)/B541</f>
        <v>-0.12135741886554219</v>
      </c>
      <c r="E541" s="335">
        <v>0</v>
      </c>
      <c r="F541" s="323">
        <v>0</v>
      </c>
      <c r="G541" s="110">
        <v>0</v>
      </c>
      <c r="H541" s="107">
        <f t="shared" si="57"/>
        <v>38712590</v>
      </c>
      <c r="I541" s="108">
        <f t="shared" si="58"/>
        <v>34014530</v>
      </c>
      <c r="J541" s="110">
        <f t="shared" si="56"/>
        <v>-0.12135741886554219</v>
      </c>
      <c r="K541" s="111">
        <f>I541/I547</f>
        <v>0.1342038204447619</v>
      </c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  <c r="AQ541" s="144"/>
      <c r="AR541" s="144"/>
      <c r="AS541" s="144"/>
      <c r="AT541" s="144"/>
      <c r="AU541" s="144"/>
      <c r="AV541" s="144"/>
      <c r="AW541" s="144"/>
    </row>
    <row r="542" spans="1:49" s="136" customFormat="1" ht="9.75">
      <c r="A542" s="9" t="s">
        <v>42</v>
      </c>
      <c r="B542" s="107">
        <v>39611050</v>
      </c>
      <c r="C542" s="109">
        <v>40241310</v>
      </c>
      <c r="D542" s="110">
        <f>(C542-B542)/B542</f>
        <v>0.015911216693321687</v>
      </c>
      <c r="E542" s="335">
        <v>106620</v>
      </c>
      <c r="F542" s="323">
        <v>108010</v>
      </c>
      <c r="G542" s="110">
        <f aca="true" t="shared" si="59" ref="G542:G547">(F542-E542)/E542</f>
        <v>0.013036953667229413</v>
      </c>
      <c r="H542" s="107">
        <f t="shared" si="57"/>
        <v>39717670</v>
      </c>
      <c r="I542" s="108">
        <f t="shared" si="58"/>
        <v>40349320</v>
      </c>
      <c r="J542" s="110">
        <f t="shared" si="56"/>
        <v>0.015903500885122414</v>
      </c>
      <c r="K542" s="111">
        <f>I542/I547</f>
        <v>0.15919763984239207</v>
      </c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</row>
    <row r="543" spans="1:49" s="136" customFormat="1" ht="9.75">
      <c r="A543" s="9" t="s">
        <v>43</v>
      </c>
      <c r="B543" s="107">
        <v>736460</v>
      </c>
      <c r="C543" s="109">
        <v>765310</v>
      </c>
      <c r="D543" s="110">
        <f>(C543-B543)/B543</f>
        <v>0.03917388588653831</v>
      </c>
      <c r="E543" s="335">
        <v>2001040</v>
      </c>
      <c r="F543" s="323">
        <v>2235670</v>
      </c>
      <c r="G543" s="110">
        <f t="shared" si="59"/>
        <v>0.11725402790548914</v>
      </c>
      <c r="H543" s="107">
        <f t="shared" si="57"/>
        <v>2737500</v>
      </c>
      <c r="I543" s="108">
        <f t="shared" si="58"/>
        <v>3000980</v>
      </c>
      <c r="J543" s="110">
        <f t="shared" si="56"/>
        <v>0.09624840182648402</v>
      </c>
      <c r="K543" s="111">
        <f>I543/I547</f>
        <v>0.011840321800075484</v>
      </c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  <c r="AQ543" s="144"/>
      <c r="AR543" s="144"/>
      <c r="AS543" s="144"/>
      <c r="AT543" s="144"/>
      <c r="AU543" s="144"/>
      <c r="AV543" s="144"/>
      <c r="AW543" s="144"/>
    </row>
    <row r="544" spans="1:49" s="136" customFormat="1" ht="9.75">
      <c r="A544" s="9" t="s">
        <v>44</v>
      </c>
      <c r="B544" s="107">
        <v>0</v>
      </c>
      <c r="C544" s="109">
        <v>0</v>
      </c>
      <c r="D544" s="110"/>
      <c r="E544" s="335">
        <v>3985030</v>
      </c>
      <c r="F544" s="323">
        <v>3965730</v>
      </c>
      <c r="G544" s="110">
        <f t="shared" si="59"/>
        <v>-0.004843125396797514</v>
      </c>
      <c r="H544" s="107">
        <f t="shared" si="57"/>
        <v>3985030</v>
      </c>
      <c r="I544" s="108">
        <f t="shared" si="58"/>
        <v>3965730</v>
      </c>
      <c r="J544" s="110">
        <f t="shared" si="56"/>
        <v>-0.004843125396797514</v>
      </c>
      <c r="K544" s="111">
        <f>I544/I547</f>
        <v>0.01564672852608593</v>
      </c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</row>
    <row r="545" spans="1:49" s="136" customFormat="1" ht="9.75">
      <c r="A545" s="9" t="s">
        <v>45</v>
      </c>
      <c r="B545" s="107">
        <v>0</v>
      </c>
      <c r="C545" s="109">
        <v>0</v>
      </c>
      <c r="D545" s="110"/>
      <c r="E545" s="335">
        <v>286020</v>
      </c>
      <c r="F545" s="323">
        <v>288680</v>
      </c>
      <c r="G545" s="110">
        <f t="shared" si="59"/>
        <v>0.00930004894762604</v>
      </c>
      <c r="H545" s="107">
        <f t="shared" si="57"/>
        <v>286020</v>
      </c>
      <c r="I545" s="108">
        <f t="shared" si="58"/>
        <v>288680</v>
      </c>
      <c r="J545" s="110">
        <f t="shared" si="56"/>
        <v>0.00930004894762604</v>
      </c>
      <c r="K545" s="111">
        <f>I545/I547</f>
        <v>0.0011389826314223324</v>
      </c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</row>
    <row r="546" spans="1:49" s="136" customFormat="1" ht="10.5" thickBot="1">
      <c r="A546" s="9" t="s">
        <v>46</v>
      </c>
      <c r="B546" s="107">
        <v>0</v>
      </c>
      <c r="C546" s="109">
        <v>0</v>
      </c>
      <c r="D546" s="110"/>
      <c r="E546" s="109">
        <v>2975210</v>
      </c>
      <c r="F546" s="323">
        <v>2901410</v>
      </c>
      <c r="G546" s="110">
        <f t="shared" si="59"/>
        <v>-0.024804971749893285</v>
      </c>
      <c r="H546" s="107">
        <f t="shared" si="57"/>
        <v>2975210</v>
      </c>
      <c r="I546" s="108">
        <f t="shared" si="58"/>
        <v>2901410</v>
      </c>
      <c r="J546" s="110">
        <f t="shared" si="56"/>
        <v>-0.024804971749893285</v>
      </c>
      <c r="K546" s="275">
        <f>I546/I547</f>
        <v>0.011447469851167623</v>
      </c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/>
      <c r="AV546" s="144"/>
      <c r="AW546" s="144"/>
    </row>
    <row r="547" spans="1:49" s="136" customFormat="1" ht="10.5" thickBot="1">
      <c r="A547" s="250" t="s">
        <v>47</v>
      </c>
      <c r="B547" s="259">
        <f>SUM(B536:B546)</f>
        <v>79471130</v>
      </c>
      <c r="C547" s="260">
        <f>SUM(C536:C546)</f>
        <v>75391540</v>
      </c>
      <c r="D547" s="256">
        <f>(C547-B547)/B547</f>
        <v>-0.05133423923882799</v>
      </c>
      <c r="E547" s="259">
        <f>SUM(E536:E546)</f>
        <v>174254610</v>
      </c>
      <c r="F547" s="260">
        <f>SUM(F536:F546)</f>
        <v>178062720</v>
      </c>
      <c r="G547" s="256">
        <f t="shared" si="59"/>
        <v>0.021853711646423586</v>
      </c>
      <c r="H547" s="263">
        <f>SUM(H536:H546)</f>
        <v>253725740</v>
      </c>
      <c r="I547" s="255">
        <f>SUM(I536:I546)</f>
        <v>253454260</v>
      </c>
      <c r="J547" s="256">
        <f>(I547-H547)/H547</f>
        <v>-0.001069974217042386</v>
      </c>
      <c r="K547" s="256">
        <f>SUM(K536:K546)</f>
        <v>0.9999999999999999</v>
      </c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</row>
    <row r="548" spans="1:49" s="136" customFormat="1" ht="9.75">
      <c r="A548" s="113" t="str">
        <f>A16</f>
        <v>Less Minimum Value Loss</v>
      </c>
      <c r="B548" s="9"/>
      <c r="C548" s="112"/>
      <c r="D548" s="9"/>
      <c r="E548" s="9"/>
      <c r="F548" s="112"/>
      <c r="G548" s="9"/>
      <c r="H548" s="108">
        <f>'2019 Certified Estimate'!H562</f>
        <v>0</v>
      </c>
      <c r="I548" s="118">
        <v>0</v>
      </c>
      <c r="J548" s="117">
        <v>0</v>
      </c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</row>
    <row r="549" spans="1:49" s="136" customFormat="1" ht="9.75">
      <c r="A549" s="113" t="s">
        <v>174</v>
      </c>
      <c r="B549" s="9"/>
      <c r="C549" s="112"/>
      <c r="D549" s="9"/>
      <c r="E549" s="9"/>
      <c r="F549" s="112"/>
      <c r="G549" s="9"/>
      <c r="H549" s="108">
        <f>'2019 Certified Estimate'!H563</f>
        <v>-418600</v>
      </c>
      <c r="I549" s="118">
        <v>-244460</v>
      </c>
      <c r="J549" s="117">
        <f>(I549-H549)/H549</f>
        <v>-0.4160057333970377</v>
      </c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</row>
    <row r="550" spans="1:49" s="136" customFormat="1" ht="10.5" thickBot="1">
      <c r="A550" s="113" t="s">
        <v>49</v>
      </c>
      <c r="B550" s="9"/>
      <c r="C550" s="112"/>
      <c r="D550" s="9"/>
      <c r="E550" s="9"/>
      <c r="F550" s="112"/>
      <c r="G550" s="9"/>
      <c r="H550" s="108">
        <f>'2019 Certified Estimate'!H564</f>
        <v>-51103990</v>
      </c>
      <c r="I550" s="118">
        <v>-52656980</v>
      </c>
      <c r="J550" s="117">
        <f>(I550-H550)/H550</f>
        <v>0.030388820912026635</v>
      </c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</row>
    <row r="551" spans="1:49" s="136" customFormat="1" ht="10.5" thickBot="1">
      <c r="A551" s="250" t="s">
        <v>50</v>
      </c>
      <c r="B551" s="253"/>
      <c r="C551" s="260"/>
      <c r="D551" s="253"/>
      <c r="E551" s="253"/>
      <c r="F551" s="260"/>
      <c r="G551" s="253"/>
      <c r="H551" s="254">
        <f>SUM(H547:H550)</f>
        <v>202203150</v>
      </c>
      <c r="I551" s="255">
        <f>SUM(I547:I550)</f>
        <v>200552820</v>
      </c>
      <c r="J551" s="256">
        <f>(I551-H551)/H551</f>
        <v>-0.0081617422873976</v>
      </c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</row>
    <row r="552" spans="1:49" s="136" customFormat="1" ht="9.75">
      <c r="A552" s="113" t="s">
        <v>127</v>
      </c>
      <c r="B552" s="9"/>
      <c r="C552" s="112"/>
      <c r="D552" s="9"/>
      <c r="E552" s="9"/>
      <c r="F552" s="112"/>
      <c r="G552" s="9"/>
      <c r="H552" s="108">
        <f>'2019 Certified Estimate'!H566</f>
        <v>-286026</v>
      </c>
      <c r="I552" s="120">
        <v>-276420</v>
      </c>
      <c r="J552" s="117">
        <f>(I552-H552)/H552</f>
        <v>-0.033584359463824966</v>
      </c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</row>
    <row r="553" spans="1:49" s="136" customFormat="1" ht="9.75">
      <c r="A553" s="113" t="s">
        <v>78</v>
      </c>
      <c r="B553" s="9"/>
      <c r="C553" s="112"/>
      <c r="D553" s="9"/>
      <c r="E553" s="9"/>
      <c r="F553" s="112"/>
      <c r="G553" s="9"/>
      <c r="H553" s="108">
        <f>'2019 Certified Estimate'!H567</f>
        <v>0</v>
      </c>
      <c r="I553" s="120">
        <v>0</v>
      </c>
      <c r="J553" s="117">
        <v>0</v>
      </c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</row>
    <row r="554" spans="1:49" s="136" customFormat="1" ht="9.75">
      <c r="A554" s="113" t="s">
        <v>128</v>
      </c>
      <c r="B554" s="9"/>
      <c r="C554" s="112"/>
      <c r="D554" s="9"/>
      <c r="E554" s="9"/>
      <c r="F554" s="112"/>
      <c r="G554" s="9"/>
      <c r="H554" s="108">
        <f>'2019 Certified Estimate'!H568</f>
        <v>0</v>
      </c>
      <c r="I554" s="120">
        <v>0</v>
      </c>
      <c r="J554" s="117">
        <v>0</v>
      </c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</row>
    <row r="555" spans="1:49" s="136" customFormat="1" ht="9.75">
      <c r="A555" s="113" t="s">
        <v>157</v>
      </c>
      <c r="B555" s="9"/>
      <c r="C555" s="112"/>
      <c r="D555" s="9"/>
      <c r="E555" s="9"/>
      <c r="F555" s="112"/>
      <c r="G555" s="9"/>
      <c r="H555" s="108">
        <f>'2019 Certified Estimate'!H569</f>
        <v>-3120250</v>
      </c>
      <c r="I555" s="118">
        <v>-3116840</v>
      </c>
      <c r="J555" s="117">
        <f>(I555-H555)/H555</f>
        <v>-0.0010928611489463985</v>
      </c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  <c r="AQ555" s="144"/>
      <c r="AR555" s="144"/>
      <c r="AS555" s="144"/>
      <c r="AT555" s="144"/>
      <c r="AU555" s="144"/>
      <c r="AV555" s="144"/>
      <c r="AW555" s="144"/>
    </row>
    <row r="556" spans="1:49" s="136" customFormat="1" ht="9.75">
      <c r="A556" s="113" t="s">
        <v>53</v>
      </c>
      <c r="B556" s="9"/>
      <c r="C556" s="112"/>
      <c r="D556" s="9"/>
      <c r="E556" s="9"/>
      <c r="F556" s="112"/>
      <c r="G556" s="9"/>
      <c r="H556" s="108">
        <f>'2019 Certified Estimate'!H570</f>
        <v>0</v>
      </c>
      <c r="I556" s="118"/>
      <c r="J556" s="117">
        <v>0</v>
      </c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</row>
    <row r="557" spans="1:49" s="136" customFormat="1" ht="9.75">
      <c r="A557" s="113" t="s">
        <v>54</v>
      </c>
      <c r="B557" s="9"/>
      <c r="C557" s="112"/>
      <c r="D557" s="9"/>
      <c r="E557" s="9"/>
      <c r="F557" s="112"/>
      <c r="G557" s="9"/>
      <c r="H557" s="108">
        <f>'2019 Certified Estimate'!H571</f>
        <v>0</v>
      </c>
      <c r="I557" s="118"/>
      <c r="J557" s="117">
        <v>0</v>
      </c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  <c r="AQ557" s="144"/>
      <c r="AR557" s="144"/>
      <c r="AS557" s="144"/>
      <c r="AT557" s="144"/>
      <c r="AU557" s="144"/>
      <c r="AV557" s="144"/>
      <c r="AW557" s="144"/>
    </row>
    <row r="558" spans="1:49" s="136" customFormat="1" ht="9.75">
      <c r="A558" s="113" t="s">
        <v>55</v>
      </c>
      <c r="B558" s="9"/>
      <c r="C558" s="112"/>
      <c r="D558" s="9"/>
      <c r="E558" s="9"/>
      <c r="F558" s="112"/>
      <c r="G558" s="9"/>
      <c r="H558" s="108">
        <f>'2019 Certified Estimate'!H572</f>
        <v>0</v>
      </c>
      <c r="I558" s="118"/>
      <c r="J558" s="117">
        <v>0</v>
      </c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  <c r="AQ558" s="144"/>
      <c r="AR558" s="144"/>
      <c r="AS558" s="144"/>
      <c r="AT558" s="144"/>
      <c r="AU558" s="144"/>
      <c r="AV558" s="144"/>
      <c r="AW558" s="144"/>
    </row>
    <row r="559" spans="1:49" s="136" customFormat="1" ht="9.75">
      <c r="A559" s="113" t="s">
        <v>56</v>
      </c>
      <c r="B559" s="9"/>
      <c r="C559" s="112"/>
      <c r="D559" s="9"/>
      <c r="E559" s="9"/>
      <c r="F559" s="112"/>
      <c r="G559" s="9"/>
      <c r="H559" s="108">
        <f>'2019 Certified Estimate'!H573</f>
        <v>-1249134</v>
      </c>
      <c r="I559" s="118">
        <v>-1515654</v>
      </c>
      <c r="J559" s="117">
        <f>(I559-H559)/H559</f>
        <v>0.21336381845342453</v>
      </c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  <c r="AQ559" s="144"/>
      <c r="AR559" s="144"/>
      <c r="AS559" s="144"/>
      <c r="AT559" s="144"/>
      <c r="AU559" s="144"/>
      <c r="AV559" s="144"/>
      <c r="AW559" s="144"/>
    </row>
    <row r="560" spans="1:49" s="136" customFormat="1" ht="9.75">
      <c r="A560" s="113" t="s">
        <v>57</v>
      </c>
      <c r="B560" s="9"/>
      <c r="C560" s="112"/>
      <c r="D560" s="9"/>
      <c r="E560" s="9"/>
      <c r="F560" s="112"/>
      <c r="G560" s="9"/>
      <c r="H560" s="108">
        <f>'2019 Certified Estimate'!H574</f>
        <v>-13204978</v>
      </c>
      <c r="I560" s="120">
        <v>-13521036</v>
      </c>
      <c r="J560" s="117">
        <f>(I560-H560)/H560</f>
        <v>0.023934761572491827</v>
      </c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</row>
    <row r="561" spans="1:49" s="136" customFormat="1" ht="9.75">
      <c r="A561" s="113" t="s">
        <v>58</v>
      </c>
      <c r="B561" s="9"/>
      <c r="C561" s="112"/>
      <c r="D561" s="9"/>
      <c r="E561" s="9"/>
      <c r="F561" s="112"/>
      <c r="G561" s="9"/>
      <c r="H561" s="108">
        <f>'2019 Certified Estimate'!H575</f>
        <v>-1699079</v>
      </c>
      <c r="I561" s="120">
        <v>-1711345</v>
      </c>
      <c r="J561" s="117">
        <f>(I561-H561)/H561</f>
        <v>0.007219205228244243</v>
      </c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  <c r="AQ561" s="144"/>
      <c r="AR561" s="144"/>
      <c r="AS561" s="144"/>
      <c r="AT561" s="144"/>
      <c r="AU561" s="144"/>
      <c r="AV561" s="144"/>
      <c r="AW561" s="144"/>
    </row>
    <row r="562" spans="1:49" s="136" customFormat="1" ht="10.5" thickBot="1">
      <c r="A562" s="113" t="s">
        <v>59</v>
      </c>
      <c r="B562" s="9"/>
      <c r="C562" s="112"/>
      <c r="D562" s="9"/>
      <c r="E562" s="9"/>
      <c r="F562" s="112"/>
      <c r="G562" s="9"/>
      <c r="H562" s="108">
        <f>'2019 Certified Estimate'!H576</f>
        <v>0</v>
      </c>
      <c r="I562" s="120">
        <v>0</v>
      </c>
      <c r="J562" s="117">
        <v>0</v>
      </c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  <c r="AQ562" s="144"/>
      <c r="AR562" s="144"/>
      <c r="AS562" s="144"/>
      <c r="AT562" s="144"/>
      <c r="AU562" s="144"/>
      <c r="AV562" s="144"/>
      <c r="AW562" s="144"/>
    </row>
    <row r="563" spans="1:49" s="136" customFormat="1" ht="10.5" thickBot="1">
      <c r="A563" s="250" t="s">
        <v>60</v>
      </c>
      <c r="B563" s="253"/>
      <c r="C563" s="260"/>
      <c r="D563" s="253"/>
      <c r="E563" s="253"/>
      <c r="F563" s="260"/>
      <c r="G563" s="253"/>
      <c r="H563" s="254">
        <f>SUM(H551:H562)</f>
        <v>182643683</v>
      </c>
      <c r="I563" s="255">
        <f>SUM(I551:I562)</f>
        <v>180411525</v>
      </c>
      <c r="J563" s="256">
        <f>(I563-H563)/H563</f>
        <v>-0.012221380796400168</v>
      </c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  <c r="AQ563" s="144"/>
      <c r="AR563" s="144"/>
      <c r="AS563" s="144"/>
      <c r="AT563" s="144"/>
      <c r="AU563" s="144"/>
      <c r="AV563" s="144"/>
      <c r="AW563" s="144"/>
    </row>
    <row r="564" spans="1:49" s="136" customFormat="1" ht="9.75">
      <c r="A564" s="121" t="str">
        <f>A640</f>
        <v>2019 Adopted/2019 Revenue Neutral Tax Rate</v>
      </c>
      <c r="B564" s="9"/>
      <c r="C564" s="112"/>
      <c r="D564" s="9"/>
      <c r="E564" s="249">
        <v>0.08283</v>
      </c>
      <c r="F564" s="139">
        <v>0.0838</v>
      </c>
      <c r="G564" s="123"/>
      <c r="H564" s="124"/>
      <c r="I564" s="125"/>
      <c r="J564" s="9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</row>
    <row r="565" spans="1:49" s="136" customFormat="1" ht="10.5">
      <c r="A565" s="146"/>
      <c r="B565" s="104"/>
      <c r="C565" s="108"/>
      <c r="D565" s="104"/>
      <c r="E565" s="104"/>
      <c r="F565" s="108"/>
      <c r="G565" s="104"/>
      <c r="H565" s="124"/>
      <c r="I565" s="125"/>
      <c r="J565" s="146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  <c r="AQ565" s="144"/>
      <c r="AR565" s="144"/>
      <c r="AS565" s="144"/>
      <c r="AT565" s="144"/>
      <c r="AU565" s="144"/>
      <c r="AV565" s="144"/>
      <c r="AW565" s="144"/>
    </row>
    <row r="566" spans="1:49" s="136" customFormat="1" ht="10.5">
      <c r="A566" s="146"/>
      <c r="B566" s="9"/>
      <c r="C566" s="112"/>
      <c r="D566" s="9"/>
      <c r="E566" s="9"/>
      <c r="F566" s="112"/>
      <c r="G566" s="123"/>
      <c r="H566" s="146"/>
      <c r="I566" s="108"/>
      <c r="J566" s="146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</row>
    <row r="567" spans="1:49" s="136" customFormat="1" ht="9.75">
      <c r="A567" s="121" t="s">
        <v>62</v>
      </c>
      <c r="B567" s="9"/>
      <c r="C567" s="112"/>
      <c r="D567" s="9"/>
      <c r="E567" s="9"/>
      <c r="F567" s="112"/>
      <c r="G567" s="9"/>
      <c r="H567" s="125">
        <f>(H563*E564)/100</f>
        <v>151283.7626289</v>
      </c>
      <c r="I567" s="125">
        <f>(I563*F564)/100</f>
        <v>151184.85795</v>
      </c>
      <c r="J567" s="117">
        <f>(I567-H567)/H567</f>
        <v>-0.000653769295404242</v>
      </c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  <c r="AQ567" s="144"/>
      <c r="AR567" s="144"/>
      <c r="AS567" s="144"/>
      <c r="AT567" s="144"/>
      <c r="AU567" s="144"/>
      <c r="AV567" s="144"/>
      <c r="AW567" s="144"/>
    </row>
    <row r="568" spans="1:49" s="136" customFormat="1" ht="9.75">
      <c r="A568" s="121" t="s">
        <v>18</v>
      </c>
      <c r="B568" s="9"/>
      <c r="C568" s="112"/>
      <c r="D568" s="9"/>
      <c r="E568" s="9"/>
      <c r="F568" s="112"/>
      <c r="G568" s="9"/>
      <c r="H568" s="108">
        <f>'2019 Certified Estimate'!H582</f>
        <v>1673800</v>
      </c>
      <c r="I568" s="118">
        <v>1277646</v>
      </c>
      <c r="J568" s="117">
        <f>(I568-H568)/H568</f>
        <v>-0.2366794121161429</v>
      </c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  <c r="AQ568" s="144"/>
      <c r="AR568" s="144"/>
      <c r="AS568" s="144"/>
      <c r="AT568" s="144"/>
      <c r="AU568" s="144"/>
      <c r="AV568" s="144"/>
      <c r="AW568" s="144"/>
    </row>
    <row r="569" spans="1:49" s="136" customFormat="1" ht="9.75">
      <c r="A569" s="121" t="s">
        <v>17</v>
      </c>
      <c r="B569" s="9"/>
      <c r="C569" s="112"/>
      <c r="D569" s="9"/>
      <c r="E569" s="9"/>
      <c r="F569" s="112"/>
      <c r="G569" s="9"/>
      <c r="H569" s="108">
        <f>'2019 Certified Estimate'!H583</f>
        <v>14550</v>
      </c>
      <c r="I569" s="118">
        <v>14698</v>
      </c>
      <c r="J569" s="117">
        <f>(I569-H569)/H569</f>
        <v>0.010171821305841924</v>
      </c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  <c r="AQ569" s="144"/>
      <c r="AR569" s="144"/>
      <c r="AS569" s="144"/>
      <c r="AT569" s="144"/>
      <c r="AU569" s="144"/>
      <c r="AV569" s="144"/>
      <c r="AW569" s="144"/>
    </row>
    <row r="570" spans="1:49" s="136" customFormat="1" ht="10.5" thickBot="1">
      <c r="A570" s="132"/>
      <c r="C570" s="140"/>
      <c r="F570" s="140"/>
      <c r="H570" s="140"/>
      <c r="I570" s="140"/>
      <c r="J570" s="206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  <c r="AQ570" s="144"/>
      <c r="AR570" s="144"/>
      <c r="AS570" s="144"/>
      <c r="AT570" s="144"/>
      <c r="AU570" s="144"/>
      <c r="AV570" s="144"/>
      <c r="AW570" s="144"/>
    </row>
    <row r="571" spans="1:11" ht="10.5" thickBot="1">
      <c r="A571" s="267" t="s">
        <v>82</v>
      </c>
      <c r="B571" s="95" t="s">
        <v>32</v>
      </c>
      <c r="C571" s="372"/>
      <c r="D571" s="97"/>
      <c r="E571" s="95" t="s">
        <v>33</v>
      </c>
      <c r="F571" s="372"/>
      <c r="G571" s="97"/>
      <c r="H571" s="95" t="s">
        <v>34</v>
      </c>
      <c r="I571" s="372"/>
      <c r="J571" s="97"/>
      <c r="K571" s="99"/>
    </row>
    <row r="572" spans="1:11" ht="9.75">
      <c r="A572" s="9" t="s">
        <v>35</v>
      </c>
      <c r="B572" s="285" t="s">
        <v>200</v>
      </c>
      <c r="C572" s="308" t="s">
        <v>202</v>
      </c>
      <c r="D572" s="100" t="s">
        <v>67</v>
      </c>
      <c r="E572" s="285" t="str">
        <f>B572</f>
        <v>2018 Certified</v>
      </c>
      <c r="F572" s="308" t="s">
        <v>202</v>
      </c>
      <c r="G572" s="100" t="s">
        <v>67</v>
      </c>
      <c r="H572" s="101" t="str">
        <f>B572</f>
        <v>2018 Certified</v>
      </c>
      <c r="I572" s="384" t="s">
        <v>204</v>
      </c>
      <c r="J572" s="100" t="s">
        <v>67</v>
      </c>
      <c r="K572" s="207" t="s">
        <v>71</v>
      </c>
    </row>
    <row r="573" spans="1:11" ht="9.75">
      <c r="A573" s="289" t="s">
        <v>148</v>
      </c>
      <c r="B573" s="103"/>
      <c r="C573" s="108"/>
      <c r="D573" s="105"/>
      <c r="E573" s="103"/>
      <c r="F573" s="108"/>
      <c r="G573" s="105"/>
      <c r="H573" s="103"/>
      <c r="I573" s="108"/>
      <c r="J573" s="105"/>
      <c r="K573" s="106"/>
    </row>
    <row r="574" spans="1:11" ht="9.75">
      <c r="A574" s="9" t="s">
        <v>36</v>
      </c>
      <c r="B574" s="107">
        <v>0</v>
      </c>
      <c r="C574" s="108">
        <v>0</v>
      </c>
      <c r="D574" s="105"/>
      <c r="E574" s="108">
        <f>'2019 Certified Estimate'!E589</f>
        <v>77963030</v>
      </c>
      <c r="F574" s="108"/>
      <c r="G574" s="110">
        <f>(F574-E574)/E574</f>
        <v>-1</v>
      </c>
      <c r="H574" s="107">
        <f aca="true" t="shared" si="60" ref="H574:I584">B574+E574</f>
        <v>77963030</v>
      </c>
      <c r="I574" s="108">
        <f t="shared" si="60"/>
        <v>0</v>
      </c>
      <c r="J574" s="110">
        <f aca="true" t="shared" si="61" ref="J574:J591">(I574-H574)/H574</f>
        <v>-1</v>
      </c>
      <c r="K574" s="111" t="e">
        <f>I574/I585</f>
        <v>#DIV/0!</v>
      </c>
    </row>
    <row r="575" spans="1:11" ht="9.75">
      <c r="A575" s="9" t="s">
        <v>37</v>
      </c>
      <c r="B575" s="107">
        <v>0</v>
      </c>
      <c r="C575" s="108">
        <v>0</v>
      </c>
      <c r="D575" s="105"/>
      <c r="E575" s="108">
        <f>'2019 Certified Estimate'!E590</f>
        <v>591600</v>
      </c>
      <c r="F575" s="108"/>
      <c r="G575" s="110">
        <f>(F575-E575)/E575</f>
        <v>-1</v>
      </c>
      <c r="H575" s="107">
        <f t="shared" si="60"/>
        <v>591600</v>
      </c>
      <c r="I575" s="108">
        <f t="shared" si="60"/>
        <v>0</v>
      </c>
      <c r="J575" s="110">
        <f t="shared" si="61"/>
        <v>-1</v>
      </c>
      <c r="K575" s="111" t="e">
        <f>I575/I585</f>
        <v>#DIV/0!</v>
      </c>
    </row>
    <row r="576" spans="1:11" ht="9.75">
      <c r="A576" s="9" t="s">
        <v>38</v>
      </c>
      <c r="B576" s="107">
        <v>0</v>
      </c>
      <c r="C576" s="108">
        <v>0</v>
      </c>
      <c r="D576" s="105"/>
      <c r="E576" s="108">
        <f>'2019 Certified Estimate'!E591</f>
        <v>2328000</v>
      </c>
      <c r="F576" s="108"/>
      <c r="G576" s="110">
        <f>(F576-E576)/E576</f>
        <v>-1</v>
      </c>
      <c r="H576" s="107">
        <f t="shared" si="60"/>
        <v>2328000</v>
      </c>
      <c r="I576" s="108">
        <f t="shared" si="60"/>
        <v>0</v>
      </c>
      <c r="J576" s="110">
        <f t="shared" si="61"/>
        <v>-1</v>
      </c>
      <c r="K576" s="111" t="e">
        <f>I576/I585</f>
        <v>#DIV/0!</v>
      </c>
    </row>
    <row r="577" spans="1:11" ht="9.75">
      <c r="A577" s="9" t="s">
        <v>39</v>
      </c>
      <c r="B577" s="107">
        <v>0</v>
      </c>
      <c r="C577" s="108">
        <v>0</v>
      </c>
      <c r="D577" s="105"/>
      <c r="E577" s="108">
        <f>'2019 Certified Estimate'!E592</f>
        <v>381991070</v>
      </c>
      <c r="F577" s="108"/>
      <c r="G577" s="110">
        <f>(F577-E577)/E577</f>
        <v>-1</v>
      </c>
      <c r="H577" s="107">
        <f t="shared" si="60"/>
        <v>381991070</v>
      </c>
      <c r="I577" s="108">
        <f t="shared" si="60"/>
        <v>0</v>
      </c>
      <c r="J577" s="110">
        <f t="shared" si="61"/>
        <v>-1</v>
      </c>
      <c r="K577" s="111" t="e">
        <f>I577/I585</f>
        <v>#DIV/0!</v>
      </c>
    </row>
    <row r="578" spans="1:11" ht="9.75">
      <c r="A578" s="9" t="s">
        <v>40</v>
      </c>
      <c r="B578" s="107">
        <v>14008430</v>
      </c>
      <c r="C578" s="108"/>
      <c r="D578" s="110">
        <f>(C578-B578)/B578</f>
        <v>-1</v>
      </c>
      <c r="E578" s="108">
        <f>'2019 Certified Estimate'!E593</f>
        <v>35640880</v>
      </c>
      <c r="F578" s="108"/>
      <c r="G578" s="110">
        <f>(F578-E578)/E578</f>
        <v>-1</v>
      </c>
      <c r="H578" s="107">
        <f t="shared" si="60"/>
        <v>49649310</v>
      </c>
      <c r="I578" s="108">
        <f t="shared" si="60"/>
        <v>0</v>
      </c>
      <c r="J578" s="110">
        <f t="shared" si="61"/>
        <v>-1</v>
      </c>
      <c r="K578" s="111" t="e">
        <f>I578/I585</f>
        <v>#DIV/0!</v>
      </c>
    </row>
    <row r="579" spans="1:11" ht="9.75">
      <c r="A579" s="9" t="s">
        <v>41</v>
      </c>
      <c r="B579" s="107">
        <v>85625460</v>
      </c>
      <c r="C579" s="109"/>
      <c r="D579" s="110">
        <f>(C579-B579)/B579</f>
        <v>-1</v>
      </c>
      <c r="E579" s="108">
        <f>'2019 Certified Estimate'!E594</f>
        <v>0</v>
      </c>
      <c r="F579" s="108">
        <v>0</v>
      </c>
      <c r="G579" s="110">
        <v>0</v>
      </c>
      <c r="H579" s="107">
        <f t="shared" si="60"/>
        <v>85625460</v>
      </c>
      <c r="I579" s="108">
        <f t="shared" si="60"/>
        <v>0</v>
      </c>
      <c r="J579" s="110">
        <f t="shared" si="61"/>
        <v>-1</v>
      </c>
      <c r="K579" s="111" t="e">
        <f>I579/I585</f>
        <v>#DIV/0!</v>
      </c>
    </row>
    <row r="580" spans="1:11" ht="9.75">
      <c r="A580" s="9" t="s">
        <v>42</v>
      </c>
      <c r="B580" s="107">
        <v>62518190</v>
      </c>
      <c r="C580" s="109"/>
      <c r="D580" s="110">
        <f>(C580-B580)/B580</f>
        <v>-1</v>
      </c>
      <c r="E580" s="108">
        <f>'2019 Certified Estimate'!E595</f>
        <v>109960</v>
      </c>
      <c r="F580" s="108"/>
      <c r="G580" s="110">
        <f aca="true" t="shared" si="62" ref="G580:G585">(F580-E580)/E580</f>
        <v>-1</v>
      </c>
      <c r="H580" s="107">
        <f t="shared" si="60"/>
        <v>62628150</v>
      </c>
      <c r="I580" s="108">
        <f t="shared" si="60"/>
        <v>0</v>
      </c>
      <c r="J580" s="110">
        <f t="shared" si="61"/>
        <v>-1</v>
      </c>
      <c r="K580" s="111" t="e">
        <f>I580/I585</f>
        <v>#DIV/0!</v>
      </c>
    </row>
    <row r="581" spans="1:11" ht="9.75">
      <c r="A581" s="9" t="s">
        <v>43</v>
      </c>
      <c r="B581" s="107">
        <v>160659890</v>
      </c>
      <c r="C581" s="109"/>
      <c r="D581" s="110">
        <f>(C581-B581)/B581</f>
        <v>-1</v>
      </c>
      <c r="E581" s="108">
        <f>'2019 Certified Estimate'!E596</f>
        <v>51204470</v>
      </c>
      <c r="F581" s="108"/>
      <c r="G581" s="110">
        <f t="shared" si="62"/>
        <v>-1</v>
      </c>
      <c r="H581" s="107">
        <f t="shared" si="60"/>
        <v>211864360</v>
      </c>
      <c r="I581" s="108">
        <f t="shared" si="60"/>
        <v>0</v>
      </c>
      <c r="J581" s="110">
        <f t="shared" si="61"/>
        <v>-1</v>
      </c>
      <c r="K581" s="111" t="e">
        <f>I581/I585</f>
        <v>#DIV/0!</v>
      </c>
    </row>
    <row r="582" spans="1:11" ht="9.75">
      <c r="A582" s="9" t="s">
        <v>44</v>
      </c>
      <c r="B582" s="107">
        <v>0</v>
      </c>
      <c r="C582" s="108">
        <v>0</v>
      </c>
      <c r="D582" s="110"/>
      <c r="E582" s="108">
        <f>'2019 Certified Estimate'!E597</f>
        <v>7152580</v>
      </c>
      <c r="F582" s="108"/>
      <c r="G582" s="110">
        <f t="shared" si="62"/>
        <v>-1</v>
      </c>
      <c r="H582" s="107">
        <f t="shared" si="60"/>
        <v>7152580</v>
      </c>
      <c r="I582" s="108">
        <f t="shared" si="60"/>
        <v>0</v>
      </c>
      <c r="J582" s="110">
        <f t="shared" si="61"/>
        <v>-1</v>
      </c>
      <c r="K582" s="111" t="e">
        <f>I582/I585</f>
        <v>#DIV/0!</v>
      </c>
    </row>
    <row r="583" spans="1:11" ht="9.75">
      <c r="A583" s="9" t="s">
        <v>45</v>
      </c>
      <c r="B583" s="107">
        <v>0</v>
      </c>
      <c r="C583" s="108">
        <v>0</v>
      </c>
      <c r="D583" s="110"/>
      <c r="E583" s="108">
        <f>'2019 Certified Estimate'!E598</f>
        <v>105050</v>
      </c>
      <c r="F583" s="108"/>
      <c r="G583" s="110">
        <f t="shared" si="62"/>
        <v>-1</v>
      </c>
      <c r="H583" s="107">
        <f t="shared" si="60"/>
        <v>105050</v>
      </c>
      <c r="I583" s="108">
        <f t="shared" si="60"/>
        <v>0</v>
      </c>
      <c r="J583" s="110">
        <f t="shared" si="61"/>
        <v>-1</v>
      </c>
      <c r="K583" s="111" t="e">
        <f>I583/I585</f>
        <v>#DIV/0!</v>
      </c>
    </row>
    <row r="584" spans="1:11" ht="10.5" thickBot="1">
      <c r="A584" s="9" t="s">
        <v>46</v>
      </c>
      <c r="B584" s="107">
        <v>0</v>
      </c>
      <c r="C584" s="108">
        <v>0</v>
      </c>
      <c r="D584" s="110"/>
      <c r="E584" s="108">
        <f>'2019 Certified Estimate'!E599</f>
        <v>10883950</v>
      </c>
      <c r="F584" s="108"/>
      <c r="G584" s="110">
        <f t="shared" si="62"/>
        <v>-1</v>
      </c>
      <c r="H584" s="107">
        <f t="shared" si="60"/>
        <v>10883950</v>
      </c>
      <c r="I584" s="108">
        <f t="shared" si="60"/>
        <v>0</v>
      </c>
      <c r="J584" s="110">
        <f t="shared" si="61"/>
        <v>-1</v>
      </c>
      <c r="K584" s="275" t="e">
        <f>I584/I585</f>
        <v>#DIV/0!</v>
      </c>
    </row>
    <row r="585" spans="1:11" ht="10.5" thickBot="1">
      <c r="A585" s="250" t="s">
        <v>47</v>
      </c>
      <c r="B585" s="259">
        <f>SUM(B574:B584)</f>
        <v>322811970</v>
      </c>
      <c r="C585" s="260">
        <f>SUM(C574:C584)</f>
        <v>0</v>
      </c>
      <c r="D585" s="256">
        <f>(C585-B585)/B585</f>
        <v>-1</v>
      </c>
      <c r="E585" s="259">
        <f>SUM(E574:E584)</f>
        <v>567970590</v>
      </c>
      <c r="F585" s="260">
        <f>SUM(F574:F584)</f>
        <v>0</v>
      </c>
      <c r="G585" s="256">
        <f t="shared" si="62"/>
        <v>-1</v>
      </c>
      <c r="H585" s="263">
        <f>SUM(H574:H584)</f>
        <v>890782560</v>
      </c>
      <c r="I585" s="255">
        <f>SUM(I574:I584)</f>
        <v>0</v>
      </c>
      <c r="J585" s="256">
        <f t="shared" si="61"/>
        <v>-1</v>
      </c>
      <c r="K585" s="261" t="e">
        <f>SUM(K574:K584)</f>
        <v>#DIV/0!</v>
      </c>
    </row>
    <row r="586" spans="1:10" ht="9.75">
      <c r="A586" s="113" t="str">
        <f>A16</f>
        <v>Less Minimum Value Loss</v>
      </c>
      <c r="H586" s="108">
        <f>'2019 Certified Estimate'!H601</f>
        <v>0</v>
      </c>
      <c r="I586" s="118">
        <v>0</v>
      </c>
      <c r="J586" s="126">
        <v>0</v>
      </c>
    </row>
    <row r="587" spans="1:10" ht="9.75">
      <c r="A587" s="113" t="s">
        <v>174</v>
      </c>
      <c r="H587" s="108">
        <f>'2019 Certified Estimate'!H602</f>
        <v>-1123010</v>
      </c>
      <c r="I587" s="118"/>
      <c r="J587" s="126">
        <f t="shared" si="61"/>
        <v>-1</v>
      </c>
    </row>
    <row r="588" spans="1:10" ht="10.5" thickBot="1">
      <c r="A588" s="113" t="s">
        <v>49</v>
      </c>
      <c r="H588" s="108">
        <f>'2019 Certified Estimate'!H603</f>
        <v>-136573510</v>
      </c>
      <c r="I588" s="118"/>
      <c r="J588" s="126">
        <f t="shared" si="61"/>
        <v>-1</v>
      </c>
    </row>
    <row r="589" spans="1:10" ht="10.5" thickBot="1">
      <c r="A589" s="250" t="s">
        <v>50</v>
      </c>
      <c r="B589" s="253"/>
      <c r="C589" s="260"/>
      <c r="D589" s="253"/>
      <c r="E589" s="253"/>
      <c r="F589" s="260"/>
      <c r="G589" s="253"/>
      <c r="H589" s="254">
        <f>SUM(H585:H588)</f>
        <v>753086040</v>
      </c>
      <c r="I589" s="255">
        <f>SUM(I585:I588)</f>
        <v>0</v>
      </c>
      <c r="J589" s="256">
        <f t="shared" si="61"/>
        <v>-1</v>
      </c>
    </row>
    <row r="590" spans="1:10" ht="9.75">
      <c r="A590" s="113" t="s">
        <v>127</v>
      </c>
      <c r="H590" s="108">
        <f>'2019 Certified Estimate'!H605</f>
        <v>-577860</v>
      </c>
      <c r="I590" s="120"/>
      <c r="J590" s="117">
        <f t="shared" si="61"/>
        <v>-1</v>
      </c>
    </row>
    <row r="591" spans="1:10" ht="9.75">
      <c r="A591" s="113" t="s">
        <v>78</v>
      </c>
      <c r="H591" s="108">
        <f>'2019 Certified Estimate'!H606</f>
        <v>-152690</v>
      </c>
      <c r="I591" s="120"/>
      <c r="J591" s="117">
        <f t="shared" si="61"/>
        <v>-1</v>
      </c>
    </row>
    <row r="592" spans="1:10" ht="9.75">
      <c r="A592" s="113" t="s">
        <v>128</v>
      </c>
      <c r="H592" s="108">
        <f>'2019 Certified Estimate'!H607</f>
        <v>0</v>
      </c>
      <c r="I592" s="120">
        <v>0</v>
      </c>
      <c r="J592" s="117">
        <v>0</v>
      </c>
    </row>
    <row r="593" spans="1:10" ht="9.75">
      <c r="A593" s="113" t="s">
        <v>157</v>
      </c>
      <c r="H593" s="108">
        <f>'2019 Certified Estimate'!H608</f>
        <v>-21817710</v>
      </c>
      <c r="I593" s="118"/>
      <c r="J593" s="117">
        <f>(I593-H593)/H593</f>
        <v>-1</v>
      </c>
    </row>
    <row r="594" spans="1:10" ht="9.75">
      <c r="A594" s="113" t="s">
        <v>53</v>
      </c>
      <c r="H594" s="108">
        <f>'2019 Certified Estimate'!H609</f>
        <v>0</v>
      </c>
      <c r="I594" s="118">
        <v>0</v>
      </c>
      <c r="J594" s="117">
        <v>0</v>
      </c>
    </row>
    <row r="595" spans="1:10" ht="9.75">
      <c r="A595" s="113" t="s">
        <v>54</v>
      </c>
      <c r="H595" s="108">
        <f>'2019 Certified Estimate'!H610</f>
        <v>0</v>
      </c>
      <c r="I595" s="118">
        <v>0</v>
      </c>
      <c r="J595" s="117">
        <v>0</v>
      </c>
    </row>
    <row r="596" spans="1:10" ht="9.75">
      <c r="A596" s="113" t="s">
        <v>55</v>
      </c>
      <c r="H596" s="108">
        <f>'2019 Certified Estimate'!H611</f>
        <v>0</v>
      </c>
      <c r="I596" s="118">
        <v>0</v>
      </c>
      <c r="J596" s="117">
        <v>0</v>
      </c>
    </row>
    <row r="597" spans="1:10" ht="9.75">
      <c r="A597" s="113" t="s">
        <v>56</v>
      </c>
      <c r="H597" s="108">
        <f>'2019 Certified Estimate'!H612</f>
        <v>-3545668</v>
      </c>
      <c r="I597" s="118"/>
      <c r="J597" s="117">
        <f>(I597-H597)/H597</f>
        <v>-1</v>
      </c>
    </row>
    <row r="598" spans="1:10" ht="9.75">
      <c r="A598" s="113" t="s">
        <v>57</v>
      </c>
      <c r="H598" s="108">
        <f>'2019 Certified Estimate'!H613</f>
        <v>-38617411</v>
      </c>
      <c r="I598" s="120"/>
      <c r="J598" s="117">
        <f>(I598-H598)/H598</f>
        <v>-1</v>
      </c>
    </row>
    <row r="599" spans="1:10" ht="9.75">
      <c r="A599" s="113" t="s">
        <v>58</v>
      </c>
      <c r="H599" s="108">
        <f>'2019 Certified Estimate'!H614</f>
        <v>-4330650</v>
      </c>
      <c r="I599" s="120"/>
      <c r="J599" s="117">
        <f>(I599-H599)/H599</f>
        <v>-1</v>
      </c>
    </row>
    <row r="600" spans="1:10" ht="10.5" thickBot="1">
      <c r="A600" s="113" t="s">
        <v>59</v>
      </c>
      <c r="H600" s="108">
        <f>'2019 Certified Estimate'!H615</f>
        <v>0</v>
      </c>
      <c r="I600" s="120">
        <v>0</v>
      </c>
      <c r="J600" s="126">
        <v>0</v>
      </c>
    </row>
    <row r="601" spans="1:10" ht="10.5" thickBot="1">
      <c r="A601" s="250" t="s">
        <v>60</v>
      </c>
      <c r="B601" s="253"/>
      <c r="C601" s="260"/>
      <c r="D601" s="253"/>
      <c r="E601" s="253"/>
      <c r="F601" s="260"/>
      <c r="G601" s="253"/>
      <c r="H601" s="254">
        <f>SUM(H589:H600)</f>
        <v>684044051</v>
      </c>
      <c r="I601" s="255">
        <f>SUM(I589:I600)</f>
        <v>0</v>
      </c>
      <c r="J601" s="256">
        <f>(I601-H601)/H601</f>
        <v>-1</v>
      </c>
    </row>
    <row r="602" spans="1:12" ht="10.5">
      <c r="A602" s="121" t="str">
        <f>A887</f>
        <v>2019 Adopted/2019 Revenue Neutral Tax Rate</v>
      </c>
      <c r="E602" s="408">
        <v>0.096293</v>
      </c>
      <c r="F602" s="139"/>
      <c r="G602" s="123"/>
      <c r="H602" s="124"/>
      <c r="I602" s="125"/>
      <c r="J602" s="117"/>
      <c r="K602" s="146"/>
      <c r="L602" s="146"/>
    </row>
    <row r="603" spans="1:12" ht="10.5">
      <c r="A603" s="146"/>
      <c r="B603" s="104"/>
      <c r="C603" s="108"/>
      <c r="D603" s="104"/>
      <c r="E603" s="104"/>
      <c r="F603" s="108"/>
      <c r="G603" s="104"/>
      <c r="H603" s="124"/>
      <c r="I603" s="125"/>
      <c r="J603" s="146"/>
      <c r="K603" s="146"/>
      <c r="L603" s="146"/>
    </row>
    <row r="604" spans="1:10" ht="10.5">
      <c r="A604" s="146"/>
      <c r="G604" s="123"/>
      <c r="H604" s="279"/>
      <c r="I604" s="108"/>
      <c r="J604" s="146"/>
    </row>
    <row r="605" spans="1:10" ht="9.75">
      <c r="A605" s="121" t="s">
        <v>62</v>
      </c>
      <c r="H605" s="125">
        <f>(H601*E602)/100</f>
        <v>658686.5380294301</v>
      </c>
      <c r="I605" s="125">
        <f>(I601*F602)/100</f>
        <v>0</v>
      </c>
      <c r="J605" s="117">
        <f>(I605-H605)/H605</f>
        <v>-1</v>
      </c>
    </row>
    <row r="606" spans="1:10" ht="9.75">
      <c r="A606" s="121" t="s">
        <v>18</v>
      </c>
      <c r="H606" s="108">
        <f>'2019 Certified Estimate'!H621</f>
        <v>2878200</v>
      </c>
      <c r="I606" s="118"/>
      <c r="J606" s="117">
        <f>(I606-H606)/H606</f>
        <v>-1</v>
      </c>
    </row>
    <row r="607" spans="1:10" ht="9.75">
      <c r="A607" s="121" t="s">
        <v>17</v>
      </c>
      <c r="H607" s="108">
        <f>'2019 Certified Estimate'!H622</f>
        <v>41643</v>
      </c>
      <c r="I607" s="118"/>
      <c r="J607" s="117">
        <f>(I607-H607)/H607</f>
        <v>-1</v>
      </c>
    </row>
    <row r="608" spans="1:10" s="136" customFormat="1" ht="10.5" thickBot="1">
      <c r="A608" s="132"/>
      <c r="C608" s="140"/>
      <c r="F608" s="140"/>
      <c r="H608" s="140"/>
      <c r="I608" s="140"/>
      <c r="J608" s="206"/>
    </row>
    <row r="609" spans="1:11" ht="10.5" thickBot="1">
      <c r="A609" s="267" t="s">
        <v>86</v>
      </c>
      <c r="B609" s="95" t="s">
        <v>32</v>
      </c>
      <c r="C609" s="372"/>
      <c r="D609" s="97"/>
      <c r="E609" s="95" t="s">
        <v>33</v>
      </c>
      <c r="F609" s="372"/>
      <c r="G609" s="97"/>
      <c r="H609" s="95" t="s">
        <v>34</v>
      </c>
      <c r="I609" s="372"/>
      <c r="J609" s="97"/>
      <c r="K609" s="99"/>
    </row>
    <row r="610" spans="1:11" ht="9.75">
      <c r="A610" s="9" t="s">
        <v>35</v>
      </c>
      <c r="B610" s="285" t="s">
        <v>200</v>
      </c>
      <c r="C610" s="308" t="s">
        <v>202</v>
      </c>
      <c r="D610" s="100" t="s">
        <v>67</v>
      </c>
      <c r="E610" s="285" t="str">
        <f>B610</f>
        <v>2018 Certified</v>
      </c>
      <c r="F610" s="308" t="s">
        <v>202</v>
      </c>
      <c r="G610" s="100" t="s">
        <v>67</v>
      </c>
      <c r="H610" s="101" t="str">
        <f>B610</f>
        <v>2018 Certified</v>
      </c>
      <c r="I610" s="384" t="s">
        <v>204</v>
      </c>
      <c r="J610" s="100" t="s">
        <v>67</v>
      </c>
      <c r="K610" s="207" t="s">
        <v>71</v>
      </c>
    </row>
    <row r="611" spans="1:11" ht="9.75">
      <c r="A611" s="93" t="s">
        <v>149</v>
      </c>
      <c r="B611" s="103"/>
      <c r="C611" s="108"/>
      <c r="D611" s="105"/>
      <c r="E611" s="103"/>
      <c r="F611" s="108"/>
      <c r="G611" s="105"/>
      <c r="H611" s="103"/>
      <c r="I611" s="108"/>
      <c r="J611" s="105"/>
      <c r="K611" s="106"/>
    </row>
    <row r="612" spans="1:11" ht="9.75">
      <c r="A612" s="9" t="s">
        <v>36</v>
      </c>
      <c r="B612" s="107">
        <v>0</v>
      </c>
      <c r="C612" s="108">
        <v>0</v>
      </c>
      <c r="D612" s="105"/>
      <c r="E612" s="108">
        <f>'2019 Certified Estimate'!E628</f>
        <v>7421980</v>
      </c>
      <c r="F612" s="108"/>
      <c r="G612" s="110">
        <f>(F612-E612)/E612</f>
        <v>-1</v>
      </c>
      <c r="H612" s="107">
        <f aca="true" t="shared" si="63" ref="H612:I622">B612+E612</f>
        <v>7421980</v>
      </c>
      <c r="I612" s="108">
        <f t="shared" si="63"/>
        <v>0</v>
      </c>
      <c r="J612" s="110">
        <f>(I612-H612)/H612</f>
        <v>-1</v>
      </c>
      <c r="K612" s="111" t="e">
        <f>I612/I623</f>
        <v>#DIV/0!</v>
      </c>
    </row>
    <row r="613" spans="1:11" ht="9.75">
      <c r="A613" s="9" t="s">
        <v>37</v>
      </c>
      <c r="B613" s="107">
        <v>0</v>
      </c>
      <c r="C613" s="108">
        <v>0</v>
      </c>
      <c r="D613" s="105"/>
      <c r="E613" s="108">
        <f>'2019 Certified Estimate'!E629</f>
        <v>0</v>
      </c>
      <c r="F613" s="108">
        <v>0</v>
      </c>
      <c r="G613" s="110">
        <v>0</v>
      </c>
      <c r="H613" s="107">
        <f t="shared" si="63"/>
        <v>0</v>
      </c>
      <c r="I613" s="108">
        <f t="shared" si="63"/>
        <v>0</v>
      </c>
      <c r="J613" s="110">
        <v>0</v>
      </c>
      <c r="K613" s="111" t="e">
        <f>I613/I623</f>
        <v>#DIV/0!</v>
      </c>
    </row>
    <row r="614" spans="1:11" ht="9.75">
      <c r="A614" s="9" t="s">
        <v>38</v>
      </c>
      <c r="B614" s="107">
        <v>0</v>
      </c>
      <c r="C614" s="108">
        <v>0</v>
      </c>
      <c r="D614" s="105"/>
      <c r="E614" s="108">
        <f>'2019 Certified Estimate'!E630</f>
        <v>368060</v>
      </c>
      <c r="F614" s="108"/>
      <c r="G614" s="110">
        <f>(F614-E614)/E614</f>
        <v>-1</v>
      </c>
      <c r="H614" s="107">
        <f t="shared" si="63"/>
        <v>368060</v>
      </c>
      <c r="I614" s="108">
        <f t="shared" si="63"/>
        <v>0</v>
      </c>
      <c r="J614" s="110">
        <f aca="true" t="shared" si="64" ref="J614:J629">(I614-H614)/H614</f>
        <v>-1</v>
      </c>
      <c r="K614" s="111" t="e">
        <f>I614/I623</f>
        <v>#DIV/0!</v>
      </c>
    </row>
    <row r="615" spans="1:11" ht="9.75">
      <c r="A615" s="9" t="s">
        <v>39</v>
      </c>
      <c r="B615" s="107">
        <v>0</v>
      </c>
      <c r="C615" s="108">
        <v>0</v>
      </c>
      <c r="D615" s="105"/>
      <c r="E615" s="108">
        <f>'2019 Certified Estimate'!E631</f>
        <v>171255290</v>
      </c>
      <c r="F615" s="108"/>
      <c r="G615" s="110">
        <f>(F615-E615)/E615</f>
        <v>-1</v>
      </c>
      <c r="H615" s="107">
        <f t="shared" si="63"/>
        <v>171255290</v>
      </c>
      <c r="I615" s="108">
        <f t="shared" si="63"/>
        <v>0</v>
      </c>
      <c r="J615" s="110">
        <f t="shared" si="64"/>
        <v>-1</v>
      </c>
      <c r="K615" s="111" t="e">
        <f>I615/I623</f>
        <v>#DIV/0!</v>
      </c>
    </row>
    <row r="616" spans="1:11" ht="9.75">
      <c r="A616" s="9" t="s">
        <v>40</v>
      </c>
      <c r="B616" s="107">
        <v>53297280</v>
      </c>
      <c r="C616" s="108"/>
      <c r="D616" s="110">
        <f>(C616-B616)/B616</f>
        <v>-1</v>
      </c>
      <c r="E616" s="108">
        <f>'2019 Certified Estimate'!E632</f>
        <v>8348620</v>
      </c>
      <c r="F616" s="108"/>
      <c r="G616" s="110">
        <f>(F616-E616)/E616</f>
        <v>-1</v>
      </c>
      <c r="H616" s="107">
        <f t="shared" si="63"/>
        <v>61645900</v>
      </c>
      <c r="I616" s="108">
        <f t="shared" si="63"/>
        <v>0</v>
      </c>
      <c r="J616" s="110">
        <f t="shared" si="64"/>
        <v>-1</v>
      </c>
      <c r="K616" s="111" t="e">
        <f>I616/I623</f>
        <v>#DIV/0!</v>
      </c>
    </row>
    <row r="617" spans="1:11" ht="9.75">
      <c r="A617" s="9" t="s">
        <v>41</v>
      </c>
      <c r="B617" s="107">
        <v>84751650</v>
      </c>
      <c r="C617" s="109"/>
      <c r="D617" s="110">
        <f>(C617-B617)/B617</f>
        <v>-1</v>
      </c>
      <c r="E617" s="108">
        <f>'2019 Certified Estimate'!E633</f>
        <v>0</v>
      </c>
      <c r="F617" s="108">
        <v>0</v>
      </c>
      <c r="G617" s="110">
        <v>0</v>
      </c>
      <c r="H617" s="107">
        <f t="shared" si="63"/>
        <v>84751650</v>
      </c>
      <c r="I617" s="108">
        <f t="shared" si="63"/>
        <v>0</v>
      </c>
      <c r="J617" s="110">
        <f t="shared" si="64"/>
        <v>-1</v>
      </c>
      <c r="K617" s="111" t="e">
        <f>I617/I623</f>
        <v>#DIV/0!</v>
      </c>
    </row>
    <row r="618" spans="1:11" ht="9.75">
      <c r="A618" s="9" t="s">
        <v>42</v>
      </c>
      <c r="B618" s="107">
        <f>'2019 Certified Estimate'!B634</f>
        <v>32494340</v>
      </c>
      <c r="C618" s="109"/>
      <c r="D618" s="110">
        <f>(C618-B618)/B618</f>
        <v>-1</v>
      </c>
      <c r="E618" s="108">
        <f>'2019 Certified Estimate'!E634</f>
        <v>4709420</v>
      </c>
      <c r="F618" s="108"/>
      <c r="G618" s="110">
        <f aca="true" t="shared" si="65" ref="G618:G623">(F618-E618)/E618</f>
        <v>-1</v>
      </c>
      <c r="H618" s="107">
        <f t="shared" si="63"/>
        <v>37203760</v>
      </c>
      <c r="I618" s="108">
        <f t="shared" si="63"/>
        <v>0</v>
      </c>
      <c r="J618" s="110">
        <f t="shared" si="64"/>
        <v>-1</v>
      </c>
      <c r="K618" s="111" t="e">
        <f>I618/I623</f>
        <v>#DIV/0!</v>
      </c>
    </row>
    <row r="619" spans="1:11" ht="9.75">
      <c r="A619" s="9" t="s">
        <v>43</v>
      </c>
      <c r="B619" s="107">
        <f>'2019 Certified Estimate'!B635</f>
        <v>263909590</v>
      </c>
      <c r="C619" s="109"/>
      <c r="D619" s="110">
        <f>(C619-B619)/B619</f>
        <v>-1</v>
      </c>
      <c r="E619" s="108">
        <f>'2019 Certified Estimate'!E635</f>
        <v>5653640</v>
      </c>
      <c r="F619" s="108"/>
      <c r="G619" s="110">
        <f t="shared" si="65"/>
        <v>-1</v>
      </c>
      <c r="H619" s="107">
        <f t="shared" si="63"/>
        <v>269563230</v>
      </c>
      <c r="I619" s="108">
        <f t="shared" si="63"/>
        <v>0</v>
      </c>
      <c r="J619" s="110">
        <f t="shared" si="64"/>
        <v>-1</v>
      </c>
      <c r="K619" s="111" t="e">
        <f>I619/I623</f>
        <v>#DIV/0!</v>
      </c>
    </row>
    <row r="620" spans="1:11" ht="9.75">
      <c r="A620" s="9" t="s">
        <v>44</v>
      </c>
      <c r="B620" s="107">
        <v>0</v>
      </c>
      <c r="C620" s="108">
        <v>0</v>
      </c>
      <c r="D620" s="110"/>
      <c r="E620" s="108">
        <f>'2019 Certified Estimate'!E636</f>
        <v>3239650</v>
      </c>
      <c r="F620" s="108"/>
      <c r="G620" s="110">
        <f t="shared" si="65"/>
        <v>-1</v>
      </c>
      <c r="H620" s="107">
        <f t="shared" si="63"/>
        <v>3239650</v>
      </c>
      <c r="I620" s="108">
        <f t="shared" si="63"/>
        <v>0</v>
      </c>
      <c r="J620" s="110">
        <f t="shared" si="64"/>
        <v>-1</v>
      </c>
      <c r="K620" s="111" t="e">
        <f>I620/I623</f>
        <v>#DIV/0!</v>
      </c>
    </row>
    <row r="621" spans="1:11" ht="9.75">
      <c r="A621" s="9" t="s">
        <v>45</v>
      </c>
      <c r="B621" s="107">
        <v>0</v>
      </c>
      <c r="C621" s="108">
        <v>0</v>
      </c>
      <c r="D621" s="110"/>
      <c r="E621" s="108">
        <f>'2019 Certified Estimate'!E637</f>
        <v>0</v>
      </c>
      <c r="F621" s="108">
        <v>0</v>
      </c>
      <c r="G621" s="110">
        <v>1</v>
      </c>
      <c r="H621" s="107">
        <f t="shared" si="63"/>
        <v>0</v>
      </c>
      <c r="I621" s="108">
        <f t="shared" si="63"/>
        <v>0</v>
      </c>
      <c r="J621" s="110">
        <v>1</v>
      </c>
      <c r="K621" s="111" t="e">
        <f>I621/I623</f>
        <v>#DIV/0!</v>
      </c>
    </row>
    <row r="622" spans="1:11" ht="10.5" thickBot="1">
      <c r="A622" s="9" t="s">
        <v>64</v>
      </c>
      <c r="B622" s="107">
        <v>0</v>
      </c>
      <c r="C622" s="108">
        <v>0</v>
      </c>
      <c r="D622" s="110"/>
      <c r="E622" s="108">
        <f>'2019 Certified Estimate'!E638</f>
        <v>5936760</v>
      </c>
      <c r="F622" s="108"/>
      <c r="G622" s="110">
        <f t="shared" si="65"/>
        <v>-1</v>
      </c>
      <c r="H622" s="107">
        <f t="shared" si="63"/>
        <v>5936760</v>
      </c>
      <c r="I622" s="108">
        <f t="shared" si="63"/>
        <v>0</v>
      </c>
      <c r="J622" s="110">
        <f t="shared" si="64"/>
        <v>-1</v>
      </c>
      <c r="K622" s="275" t="e">
        <f>I622/I623</f>
        <v>#DIV/0!</v>
      </c>
    </row>
    <row r="623" spans="1:11" ht="10.5" thickBot="1">
      <c r="A623" s="250" t="s">
        <v>47</v>
      </c>
      <c r="B623" s="259">
        <f>SUM(B612:B622)</f>
        <v>434452860</v>
      </c>
      <c r="C623" s="260">
        <f>SUM(C612:C622)</f>
        <v>0</v>
      </c>
      <c r="D623" s="256">
        <f>(C623-B623)/B623</f>
        <v>-1</v>
      </c>
      <c r="E623" s="259">
        <f>SUM(E612:E622)</f>
        <v>206933420</v>
      </c>
      <c r="F623" s="260">
        <f>SUM(F612:F622)</f>
        <v>0</v>
      </c>
      <c r="G623" s="256">
        <f t="shared" si="65"/>
        <v>-1</v>
      </c>
      <c r="H623" s="263">
        <f>SUM(H612:H622)</f>
        <v>641386280</v>
      </c>
      <c r="I623" s="255">
        <f>SUM(I612:I622)</f>
        <v>0</v>
      </c>
      <c r="J623" s="256">
        <f t="shared" si="64"/>
        <v>-1</v>
      </c>
      <c r="K623" s="261" t="e">
        <f>SUM(K612:K622)</f>
        <v>#DIV/0!</v>
      </c>
    </row>
    <row r="624" spans="1:10" ht="9.75">
      <c r="A624" s="113" t="str">
        <f>A16</f>
        <v>Less Minimum Value Loss</v>
      </c>
      <c r="H624" s="108">
        <f>'2019 Certified Estimate'!H640</f>
        <v>0</v>
      </c>
      <c r="I624" s="118">
        <v>0</v>
      </c>
      <c r="J624" s="126">
        <v>0</v>
      </c>
    </row>
    <row r="625" spans="1:10" ht="9.75">
      <c r="A625" s="113" t="s">
        <v>174</v>
      </c>
      <c r="H625" s="108">
        <f>'2019 Certified Estimate'!H641</f>
        <v>-220722</v>
      </c>
      <c r="I625" s="118"/>
      <c r="J625" s="126">
        <f t="shared" si="64"/>
        <v>-1</v>
      </c>
    </row>
    <row r="626" spans="1:10" ht="10.5" thickBot="1">
      <c r="A626" s="113" t="s">
        <v>49</v>
      </c>
      <c r="H626" s="108">
        <f>'2019 Certified Estimate'!H642</f>
        <v>-52958630</v>
      </c>
      <c r="I626" s="118"/>
      <c r="J626" s="126">
        <f t="shared" si="64"/>
        <v>-1</v>
      </c>
    </row>
    <row r="627" spans="1:10" ht="10.5" thickBot="1">
      <c r="A627" s="250" t="s">
        <v>50</v>
      </c>
      <c r="B627" s="253"/>
      <c r="C627" s="260"/>
      <c r="D627" s="253"/>
      <c r="E627" s="253"/>
      <c r="F627" s="260"/>
      <c r="G627" s="253"/>
      <c r="H627" s="254">
        <f>SUM(H623:H626)</f>
        <v>588206928</v>
      </c>
      <c r="I627" s="255">
        <f>SUM(I623:I626)</f>
        <v>0</v>
      </c>
      <c r="J627" s="256">
        <f t="shared" si="64"/>
        <v>-1</v>
      </c>
    </row>
    <row r="628" spans="1:10" ht="9.75">
      <c r="A628" s="113" t="s">
        <v>127</v>
      </c>
      <c r="H628" s="108">
        <f>'2019 Certified Estimate'!H644</f>
        <v>-491550</v>
      </c>
      <c r="I628" s="120"/>
      <c r="J628" s="117">
        <f>(I628-H628)/H628</f>
        <v>-1</v>
      </c>
    </row>
    <row r="629" spans="1:10" ht="9.75">
      <c r="A629" s="113" t="s">
        <v>78</v>
      </c>
      <c r="H629" s="108">
        <f>'2019 Certified Estimate'!H645</f>
        <v>-21129310</v>
      </c>
      <c r="I629" s="120"/>
      <c r="J629" s="117">
        <f t="shared" si="64"/>
        <v>-1</v>
      </c>
    </row>
    <row r="630" spans="1:10" ht="9.75">
      <c r="A630" s="113" t="s">
        <v>128</v>
      </c>
      <c r="H630" s="108">
        <f>'2019 Certified Estimate'!H646</f>
        <v>0</v>
      </c>
      <c r="I630" s="120">
        <v>0</v>
      </c>
      <c r="J630" s="117">
        <v>0</v>
      </c>
    </row>
    <row r="631" spans="1:10" ht="9.75">
      <c r="A631" s="113" t="s">
        <v>157</v>
      </c>
      <c r="H631" s="108">
        <f>'2019 Certified Estimate'!H647</f>
        <v>-5936760</v>
      </c>
      <c r="I631" s="118"/>
      <c r="J631" s="117">
        <f>(I631-H631)/H631</f>
        <v>-1</v>
      </c>
    </row>
    <row r="632" spans="1:10" ht="9.75">
      <c r="A632" s="113" t="s">
        <v>53</v>
      </c>
      <c r="H632" s="108">
        <f>'2019 Certified Estimate'!H648</f>
        <v>0</v>
      </c>
      <c r="I632" s="118">
        <v>0</v>
      </c>
      <c r="J632" s="117">
        <v>0</v>
      </c>
    </row>
    <row r="633" spans="1:10" ht="9.75">
      <c r="A633" s="113" t="s">
        <v>54</v>
      </c>
      <c r="H633" s="108">
        <f>'2019 Certified Estimate'!H649</f>
        <v>0</v>
      </c>
      <c r="I633" s="118">
        <v>0</v>
      </c>
      <c r="J633" s="117">
        <v>0</v>
      </c>
    </row>
    <row r="634" spans="1:10" ht="9.75">
      <c r="A634" s="113" t="s">
        <v>55</v>
      </c>
      <c r="H634" s="108">
        <f>'2019 Certified Estimate'!H650</f>
        <v>0</v>
      </c>
      <c r="I634" s="118">
        <v>0</v>
      </c>
      <c r="J634" s="117">
        <v>0</v>
      </c>
    </row>
    <row r="635" spans="1:10" ht="9.75">
      <c r="A635" s="113" t="s">
        <v>56</v>
      </c>
      <c r="H635" s="108">
        <f>'2019 Certified Estimate'!H651</f>
        <v>-1431864</v>
      </c>
      <c r="I635" s="118"/>
      <c r="J635" s="117">
        <f>(I635-H635)/H635</f>
        <v>-1</v>
      </c>
    </row>
    <row r="636" spans="1:10" ht="9.75">
      <c r="A636" s="113" t="s">
        <v>57</v>
      </c>
      <c r="H636" s="108">
        <f>'2019 Certified Estimate'!H652</f>
        <v>-13337146</v>
      </c>
      <c r="I636" s="120"/>
      <c r="J636" s="117">
        <f>(I636-H636)/H636</f>
        <v>-1</v>
      </c>
    </row>
    <row r="637" spans="1:10" ht="9.75">
      <c r="A637" s="113" t="s">
        <v>58</v>
      </c>
      <c r="H637" s="108">
        <f>'2019 Certified Estimate'!H653</f>
        <v>-1575690</v>
      </c>
      <c r="I637" s="120"/>
      <c r="J637" s="117">
        <f>(I637-H637)/H637</f>
        <v>-1</v>
      </c>
    </row>
    <row r="638" spans="1:10" ht="10.5" thickBot="1">
      <c r="A638" s="113" t="s">
        <v>59</v>
      </c>
      <c r="H638" s="108">
        <f>'2019 Certified Estimate'!H654</f>
        <v>0</v>
      </c>
      <c r="I638" s="120">
        <v>0</v>
      </c>
      <c r="J638" s="126">
        <v>0</v>
      </c>
    </row>
    <row r="639" spans="1:10" ht="10.5" thickBot="1">
      <c r="A639" s="250" t="s">
        <v>60</v>
      </c>
      <c r="B639" s="253"/>
      <c r="C639" s="260"/>
      <c r="D639" s="253"/>
      <c r="E639" s="253"/>
      <c r="F639" s="260"/>
      <c r="G639" s="253"/>
      <c r="H639" s="254">
        <f>SUM(H627:H638)</f>
        <v>544304608</v>
      </c>
      <c r="I639" s="255">
        <f>SUM(I627:I638)</f>
        <v>0</v>
      </c>
      <c r="J639" s="256">
        <f>(I639-H639)/H639</f>
        <v>-1</v>
      </c>
    </row>
    <row r="640" spans="1:12" ht="10.5">
      <c r="A640" s="121" t="str">
        <f>A602</f>
        <v>2019 Adopted/2019 Revenue Neutral Tax Rate</v>
      </c>
      <c r="E640" s="249">
        <v>0.1</v>
      </c>
      <c r="F640" s="376"/>
      <c r="G640" s="123"/>
      <c r="H640" s="124"/>
      <c r="I640" s="125"/>
      <c r="J640" s="117"/>
      <c r="K640" s="146"/>
      <c r="L640" s="146"/>
    </row>
    <row r="641" spans="1:12" ht="10.5">
      <c r="A641" s="146"/>
      <c r="B641" s="104"/>
      <c r="C641" s="108"/>
      <c r="D641" s="104"/>
      <c r="E641" s="104"/>
      <c r="F641" s="108"/>
      <c r="G641" s="104"/>
      <c r="H641" s="124"/>
      <c r="I641" s="125"/>
      <c r="J641" s="146"/>
      <c r="K641" s="146"/>
      <c r="L641" s="146"/>
    </row>
    <row r="642" spans="1:10" ht="10.5">
      <c r="A642" s="146"/>
      <c r="G642" s="123"/>
      <c r="H642" s="146"/>
      <c r="I642" s="108"/>
      <c r="J642" s="146"/>
    </row>
    <row r="643" spans="1:10" ht="9.75">
      <c r="A643" s="121" t="s">
        <v>62</v>
      </c>
      <c r="H643" s="131">
        <f>(H639*E640)/100</f>
        <v>544304.608</v>
      </c>
      <c r="I643" s="131">
        <f>(I639*F640)/100</f>
        <v>0</v>
      </c>
      <c r="J643" s="117">
        <f>(I643-H643)/H643</f>
        <v>-1</v>
      </c>
    </row>
    <row r="644" spans="1:10" ht="9.75">
      <c r="A644" s="121" t="s">
        <v>18</v>
      </c>
      <c r="H644" s="108">
        <f>'2019 Certified Estimate'!H660</f>
        <v>1782894</v>
      </c>
      <c r="I644" s="118"/>
      <c r="J644" s="117">
        <f>(I644-H644)/H644</f>
        <v>-1</v>
      </c>
    </row>
    <row r="645" spans="1:10" ht="9.75">
      <c r="A645" s="121" t="s">
        <v>17</v>
      </c>
      <c r="H645" s="108">
        <f>'2019 Certified Estimate'!H661</f>
        <v>41487</v>
      </c>
      <c r="I645" s="118"/>
      <c r="J645" s="117">
        <f>(I645-H645)/H645</f>
        <v>-1</v>
      </c>
    </row>
    <row r="646" spans="3:11" s="220" customFormat="1" ht="10.5" thickBot="1">
      <c r="C646" s="373"/>
      <c r="F646" s="373"/>
      <c r="I646" s="373"/>
      <c r="K646" s="221"/>
    </row>
    <row r="647" spans="1:11" ht="10.5" thickBot="1">
      <c r="A647" s="267" t="s">
        <v>158</v>
      </c>
      <c r="B647" s="95" t="s">
        <v>32</v>
      </c>
      <c r="C647" s="372"/>
      <c r="D647" s="97"/>
      <c r="E647" s="95" t="s">
        <v>33</v>
      </c>
      <c r="F647" s="372"/>
      <c r="G647" s="97"/>
      <c r="H647" s="95" t="s">
        <v>34</v>
      </c>
      <c r="I647" s="372"/>
      <c r="J647" s="97"/>
      <c r="K647" s="99"/>
    </row>
    <row r="648" spans="1:11" ht="9.75">
      <c r="A648" s="9" t="s">
        <v>35</v>
      </c>
      <c r="B648" s="285" t="s">
        <v>200</v>
      </c>
      <c r="C648" s="308" t="s">
        <v>202</v>
      </c>
      <c r="D648" s="100" t="s">
        <v>67</v>
      </c>
      <c r="E648" s="285" t="str">
        <f>B648</f>
        <v>2018 Certified</v>
      </c>
      <c r="F648" s="308" t="s">
        <v>202</v>
      </c>
      <c r="G648" s="100" t="s">
        <v>67</v>
      </c>
      <c r="H648" s="101" t="str">
        <f>B648</f>
        <v>2018 Certified</v>
      </c>
      <c r="I648" s="384" t="s">
        <v>204</v>
      </c>
      <c r="J648" s="100" t="s">
        <v>67</v>
      </c>
      <c r="K648" s="207" t="s">
        <v>71</v>
      </c>
    </row>
    <row r="649" spans="1:11" ht="9.75">
      <c r="A649" s="93"/>
      <c r="B649" s="103"/>
      <c r="C649" s="108"/>
      <c r="D649" s="105"/>
      <c r="E649" s="103"/>
      <c r="F649" s="108"/>
      <c r="G649" s="105"/>
      <c r="H649" s="103"/>
      <c r="I649" s="108"/>
      <c r="J649" s="105"/>
      <c r="K649" s="106"/>
    </row>
    <row r="650" spans="1:11" ht="9.75">
      <c r="A650" s="9" t="s">
        <v>36</v>
      </c>
      <c r="B650" s="107">
        <v>0</v>
      </c>
      <c r="C650" s="108">
        <v>0</v>
      </c>
      <c r="D650" s="105"/>
      <c r="E650" s="108">
        <f>'2019 Certified Estimate'!E666</f>
        <v>277833900</v>
      </c>
      <c r="F650" s="109"/>
      <c r="G650" s="110">
        <f aca="true" t="shared" si="66" ref="G650:G661">(F650-E650)/E650</f>
        <v>-1</v>
      </c>
      <c r="H650" s="107">
        <f aca="true" t="shared" si="67" ref="H650:I660">B650+E650</f>
        <v>277833900</v>
      </c>
      <c r="I650" s="108">
        <f t="shared" si="67"/>
        <v>0</v>
      </c>
      <c r="J650" s="110">
        <f aca="true" t="shared" si="68" ref="J650:J677">(I650-H650)/H650</f>
        <v>-1</v>
      </c>
      <c r="K650" s="111" t="e">
        <f>I650/I661</f>
        <v>#DIV/0!</v>
      </c>
    </row>
    <row r="651" spans="1:11" ht="9.75">
      <c r="A651" s="9" t="s">
        <v>37</v>
      </c>
      <c r="B651" s="107">
        <v>0</v>
      </c>
      <c r="C651" s="108">
        <v>0</v>
      </c>
      <c r="D651" s="105"/>
      <c r="E651" s="108">
        <f>'2019 Certified Estimate'!E667</f>
        <v>29228790</v>
      </c>
      <c r="F651" s="109"/>
      <c r="G651" s="110">
        <f t="shared" si="66"/>
        <v>-1</v>
      </c>
      <c r="H651" s="107">
        <f t="shared" si="67"/>
        <v>29228790</v>
      </c>
      <c r="I651" s="108">
        <f t="shared" si="67"/>
        <v>0</v>
      </c>
      <c r="J651" s="110">
        <f t="shared" si="68"/>
        <v>-1</v>
      </c>
      <c r="K651" s="111" t="e">
        <f>I651/I661</f>
        <v>#DIV/0!</v>
      </c>
    </row>
    <row r="652" spans="1:11" ht="9.75">
      <c r="A652" s="9" t="s">
        <v>38</v>
      </c>
      <c r="B652" s="107">
        <v>0</v>
      </c>
      <c r="C652" s="108">
        <v>0</v>
      </c>
      <c r="D652" s="105"/>
      <c r="E652" s="108">
        <f>'2019 Certified Estimate'!E668</f>
        <v>4697060</v>
      </c>
      <c r="F652" s="109"/>
      <c r="G652" s="110">
        <f t="shared" si="66"/>
        <v>-1</v>
      </c>
      <c r="H652" s="107">
        <f t="shared" si="67"/>
        <v>4697060</v>
      </c>
      <c r="I652" s="108">
        <f t="shared" si="67"/>
        <v>0</v>
      </c>
      <c r="J652" s="110">
        <f t="shared" si="68"/>
        <v>-1</v>
      </c>
      <c r="K652" s="111" t="e">
        <f>I652/I661</f>
        <v>#DIV/0!</v>
      </c>
    </row>
    <row r="653" spans="1:11" ht="9.75">
      <c r="A653" s="9" t="s">
        <v>39</v>
      </c>
      <c r="B653" s="107">
        <v>0</v>
      </c>
      <c r="C653" s="108">
        <v>0</v>
      </c>
      <c r="D653" s="105"/>
      <c r="E653" s="108">
        <f>'2019 Certified Estimate'!E669</f>
        <v>309699870</v>
      </c>
      <c r="F653" s="109"/>
      <c r="G653" s="110">
        <f t="shared" si="66"/>
        <v>-1</v>
      </c>
      <c r="H653" s="107">
        <f t="shared" si="67"/>
        <v>309699870</v>
      </c>
      <c r="I653" s="108">
        <f t="shared" si="67"/>
        <v>0</v>
      </c>
      <c r="J653" s="110">
        <f t="shared" si="68"/>
        <v>-1</v>
      </c>
      <c r="K653" s="111" t="e">
        <f>I653/I661</f>
        <v>#DIV/0!</v>
      </c>
    </row>
    <row r="654" spans="1:11" ht="9.75">
      <c r="A654" s="9" t="s">
        <v>40</v>
      </c>
      <c r="B654" s="107">
        <v>216136600</v>
      </c>
      <c r="C654" s="108"/>
      <c r="D654" s="110">
        <f>(C654-B654)/B654</f>
        <v>-1</v>
      </c>
      <c r="E654" s="108">
        <f>'2019 Certified Estimate'!E670</f>
        <v>30495020</v>
      </c>
      <c r="F654" s="109"/>
      <c r="G654" s="110">
        <f t="shared" si="66"/>
        <v>-1</v>
      </c>
      <c r="H654" s="107">
        <f t="shared" si="67"/>
        <v>246631620</v>
      </c>
      <c r="I654" s="108">
        <f t="shared" si="67"/>
        <v>0</v>
      </c>
      <c r="J654" s="110">
        <f t="shared" si="68"/>
        <v>-1</v>
      </c>
      <c r="K654" s="111" t="e">
        <f>I654/I661</f>
        <v>#DIV/0!</v>
      </c>
    </row>
    <row r="655" spans="1:11" ht="9.75">
      <c r="A655" s="9" t="s">
        <v>41</v>
      </c>
      <c r="B655" s="107">
        <v>25380850</v>
      </c>
      <c r="C655" s="108"/>
      <c r="D655" s="110">
        <f>(C655-B655)/B655</f>
        <v>-1</v>
      </c>
      <c r="E655" s="108">
        <f>'2019 Certified Estimate'!E671</f>
        <v>0</v>
      </c>
      <c r="F655" s="109">
        <v>0</v>
      </c>
      <c r="G655" s="110">
        <v>0</v>
      </c>
      <c r="H655" s="107">
        <f t="shared" si="67"/>
        <v>25380850</v>
      </c>
      <c r="I655" s="108">
        <f>SUM(C655+F655)</f>
        <v>0</v>
      </c>
      <c r="J655" s="110">
        <f t="shared" si="68"/>
        <v>-1</v>
      </c>
      <c r="K655" s="111" t="e">
        <f>I655/I661</f>
        <v>#DIV/0!</v>
      </c>
    </row>
    <row r="656" spans="1:11" ht="9.75">
      <c r="A656" s="9" t="s">
        <v>42</v>
      </c>
      <c r="B656" s="107">
        <v>52327640</v>
      </c>
      <c r="C656" s="108"/>
      <c r="D656" s="110">
        <f>(C656-B656)/B656</f>
        <v>-1</v>
      </c>
      <c r="E656" s="108">
        <f>'2019 Certified Estimate'!E672</f>
        <v>2905220</v>
      </c>
      <c r="F656" s="109"/>
      <c r="G656" s="110">
        <f t="shared" si="66"/>
        <v>-1</v>
      </c>
      <c r="H656" s="107">
        <f t="shared" si="67"/>
        <v>55232860</v>
      </c>
      <c r="I656" s="108">
        <f>SUM(C656+F656)</f>
        <v>0</v>
      </c>
      <c r="J656" s="110">
        <f t="shared" si="68"/>
        <v>-1</v>
      </c>
      <c r="K656" s="111" t="e">
        <f>I656/I661</f>
        <v>#DIV/0!</v>
      </c>
    </row>
    <row r="657" spans="1:11" ht="11.25" customHeight="1">
      <c r="A657" s="9" t="s">
        <v>43</v>
      </c>
      <c r="B657" s="107">
        <v>45966190</v>
      </c>
      <c r="C657" s="108"/>
      <c r="D657" s="110">
        <f>(C657-B657)/B657</f>
        <v>-1</v>
      </c>
      <c r="E657" s="108">
        <f>'2019 Certified Estimate'!E673</f>
        <v>10765440</v>
      </c>
      <c r="F657" s="109"/>
      <c r="G657" s="110">
        <f t="shared" si="66"/>
        <v>-1</v>
      </c>
      <c r="H657" s="107">
        <f t="shared" si="67"/>
        <v>56731630</v>
      </c>
      <c r="I657" s="108">
        <f>SUM(C657+F657)</f>
        <v>0</v>
      </c>
      <c r="J657" s="110">
        <f t="shared" si="68"/>
        <v>-1</v>
      </c>
      <c r="K657" s="111" t="e">
        <f>I657/I661</f>
        <v>#DIV/0!</v>
      </c>
    </row>
    <row r="658" spans="1:11" ht="9.75">
      <c r="A658" s="9" t="s">
        <v>44</v>
      </c>
      <c r="B658" s="107">
        <v>0</v>
      </c>
      <c r="C658" s="108">
        <v>0</v>
      </c>
      <c r="D658" s="110"/>
      <c r="E658" s="108">
        <f>'2019 Certified Estimate'!E674</f>
        <v>7759280</v>
      </c>
      <c r="F658" s="109"/>
      <c r="G658" s="110">
        <f t="shared" si="66"/>
        <v>-1</v>
      </c>
      <c r="H658" s="107">
        <f t="shared" si="67"/>
        <v>7759280</v>
      </c>
      <c r="I658" s="108">
        <f t="shared" si="67"/>
        <v>0</v>
      </c>
      <c r="J658" s="110">
        <f t="shared" si="68"/>
        <v>-1</v>
      </c>
      <c r="K658" s="111" t="e">
        <f>I658/I661</f>
        <v>#DIV/0!</v>
      </c>
    </row>
    <row r="659" spans="1:11" ht="9.75">
      <c r="A659" s="9" t="s">
        <v>45</v>
      </c>
      <c r="B659" s="107">
        <v>0</v>
      </c>
      <c r="C659" s="108">
        <v>0</v>
      </c>
      <c r="D659" s="110"/>
      <c r="E659" s="108">
        <f>'2019 Certified Estimate'!E675</f>
        <v>4184580</v>
      </c>
      <c r="F659" s="109"/>
      <c r="G659" s="110">
        <f t="shared" si="66"/>
        <v>-1</v>
      </c>
      <c r="H659" s="107">
        <f t="shared" si="67"/>
        <v>4184580</v>
      </c>
      <c r="I659" s="108">
        <f t="shared" si="67"/>
        <v>0</v>
      </c>
      <c r="J659" s="110">
        <f t="shared" si="68"/>
        <v>-1</v>
      </c>
      <c r="K659" s="111" t="e">
        <f>I659/I661</f>
        <v>#DIV/0!</v>
      </c>
    </row>
    <row r="660" spans="1:11" ht="10.5" thickBot="1">
      <c r="A660" s="9" t="s">
        <v>64</v>
      </c>
      <c r="B660" s="107">
        <v>0</v>
      </c>
      <c r="C660" s="108">
        <v>0</v>
      </c>
      <c r="D660" s="110"/>
      <c r="E660" s="108">
        <f>'2019 Certified Estimate'!E676</f>
        <v>53134990</v>
      </c>
      <c r="F660" s="109"/>
      <c r="G660" s="110">
        <f t="shared" si="66"/>
        <v>-1</v>
      </c>
      <c r="H660" s="107">
        <f t="shared" si="67"/>
        <v>53134990</v>
      </c>
      <c r="I660" s="108">
        <f t="shared" si="67"/>
        <v>0</v>
      </c>
      <c r="J660" s="110">
        <f t="shared" si="68"/>
        <v>-1</v>
      </c>
      <c r="K660" s="111" t="e">
        <f>I660/I661</f>
        <v>#DIV/0!</v>
      </c>
    </row>
    <row r="661" spans="1:11" ht="10.5" thickBot="1">
      <c r="A661" s="250" t="s">
        <v>47</v>
      </c>
      <c r="B661" s="259">
        <f>SUM(B650:B660)</f>
        <v>339811280</v>
      </c>
      <c r="C661" s="260">
        <f>SUM(C650:C660)</f>
        <v>0</v>
      </c>
      <c r="D661" s="256">
        <f>(C661-B661)/B661</f>
        <v>-1</v>
      </c>
      <c r="E661" s="259">
        <f>SUM(E650:E660)</f>
        <v>730704150</v>
      </c>
      <c r="F661" s="260">
        <f>SUM(F650:F660)</f>
        <v>0</v>
      </c>
      <c r="G661" s="256">
        <f t="shared" si="66"/>
        <v>-1</v>
      </c>
      <c r="H661" s="263">
        <f>SUM(H650:H660)</f>
        <v>1070515430</v>
      </c>
      <c r="I661" s="255">
        <f>SUM(I650:I660)</f>
        <v>0</v>
      </c>
      <c r="J661" s="256">
        <f t="shared" si="68"/>
        <v>-1</v>
      </c>
      <c r="K661" s="261" t="e">
        <f>SUM(K650:K660)</f>
        <v>#DIV/0!</v>
      </c>
    </row>
    <row r="662" spans="1:10" ht="9.75">
      <c r="A662" s="113" t="str">
        <f>A54</f>
        <v>Less Minimum Value Loss</v>
      </c>
      <c r="H662" s="108">
        <f>'2019 Certified Estimate'!H678</f>
        <v>0</v>
      </c>
      <c r="I662" s="118">
        <v>0</v>
      </c>
      <c r="J662" s="126">
        <v>0</v>
      </c>
    </row>
    <row r="663" spans="1:10" ht="9.75">
      <c r="A663" s="113" t="s">
        <v>174</v>
      </c>
      <c r="H663" s="108">
        <f>'2019 Certified Estimate'!H679</f>
        <v>-1635130</v>
      </c>
      <c r="I663" s="118"/>
      <c r="J663" s="126">
        <f t="shared" si="68"/>
        <v>-1</v>
      </c>
    </row>
    <row r="664" spans="1:10" ht="10.5" thickBot="1">
      <c r="A664" s="113" t="s">
        <v>49</v>
      </c>
      <c r="H664" s="108">
        <f>'2019 Certified Estimate'!H680</f>
        <v>-80610510</v>
      </c>
      <c r="I664" s="118"/>
      <c r="J664" s="126">
        <f t="shared" si="68"/>
        <v>-1</v>
      </c>
    </row>
    <row r="665" spans="1:10" ht="10.5" thickBot="1">
      <c r="A665" s="250" t="s">
        <v>50</v>
      </c>
      <c r="B665" s="253"/>
      <c r="C665" s="260"/>
      <c r="D665" s="253"/>
      <c r="E665" s="253"/>
      <c r="F665" s="260"/>
      <c r="G665" s="253"/>
      <c r="H665" s="254">
        <f>SUM(H661:H664)</f>
        <v>988269790</v>
      </c>
      <c r="I665" s="255">
        <f>SUM(I661:I664)</f>
        <v>0</v>
      </c>
      <c r="J665" s="256">
        <f t="shared" si="68"/>
        <v>-1</v>
      </c>
    </row>
    <row r="666" spans="1:10" ht="9.75">
      <c r="A666" s="113" t="s">
        <v>127</v>
      </c>
      <c r="H666" s="108">
        <f>'2019 Certified Estimate'!H682</f>
        <v>-357230</v>
      </c>
      <c r="I666" s="120"/>
      <c r="J666" s="126">
        <f t="shared" si="68"/>
        <v>-1</v>
      </c>
    </row>
    <row r="667" spans="1:10" ht="9.75">
      <c r="A667" s="113" t="s">
        <v>78</v>
      </c>
      <c r="H667" s="108">
        <f>'2019 Certified Estimate'!H683</f>
        <v>-25494970</v>
      </c>
      <c r="I667" s="120"/>
      <c r="J667" s="126">
        <f t="shared" si="68"/>
        <v>-1</v>
      </c>
    </row>
    <row r="668" spans="1:10" ht="9.75">
      <c r="A668" s="113" t="s">
        <v>128</v>
      </c>
      <c r="H668" s="108">
        <f>'2019 Certified Estimate'!H684</f>
        <v>0</v>
      </c>
      <c r="I668" s="120">
        <v>0</v>
      </c>
      <c r="J668" s="126">
        <v>0</v>
      </c>
    </row>
    <row r="669" spans="1:10" ht="9.75">
      <c r="A669" s="113" t="s">
        <v>157</v>
      </c>
      <c r="H669" s="108">
        <f>'2019 Certified Estimate'!H685</f>
        <v>-53044170</v>
      </c>
      <c r="I669" s="118"/>
      <c r="J669" s="126">
        <f t="shared" si="68"/>
        <v>-1</v>
      </c>
    </row>
    <row r="670" spans="1:10" ht="9.75">
      <c r="A670" s="113" t="s">
        <v>53</v>
      </c>
      <c r="H670" s="108">
        <f>'2019 Certified Estimate'!H686</f>
        <v>0</v>
      </c>
      <c r="I670" s="118">
        <v>0</v>
      </c>
      <c r="J670" s="126">
        <v>0</v>
      </c>
    </row>
    <row r="671" spans="1:10" ht="9.75">
      <c r="A671" s="113" t="s">
        <v>54</v>
      </c>
      <c r="H671" s="108">
        <f>'2019 Certified Estimate'!H687</f>
        <v>0</v>
      </c>
      <c r="I671" s="118">
        <v>0</v>
      </c>
      <c r="J671" s="126">
        <v>0</v>
      </c>
    </row>
    <row r="672" spans="1:10" ht="9.75">
      <c r="A672" s="113" t="s">
        <v>55</v>
      </c>
      <c r="H672" s="108">
        <f>'2019 Certified Estimate'!H688</f>
        <v>0</v>
      </c>
      <c r="I672" s="118">
        <v>0</v>
      </c>
      <c r="J672" s="126">
        <v>0</v>
      </c>
    </row>
    <row r="673" spans="1:10" ht="9.75">
      <c r="A673" s="113" t="s">
        <v>56</v>
      </c>
      <c r="H673" s="108">
        <f>'2019 Certified Estimate'!H689</f>
        <v>-6081240</v>
      </c>
      <c r="I673" s="118"/>
      <c r="J673" s="126">
        <f t="shared" si="68"/>
        <v>-1</v>
      </c>
    </row>
    <row r="674" spans="1:10" ht="9.75">
      <c r="A674" s="113" t="s">
        <v>57</v>
      </c>
      <c r="H674" s="108">
        <f>'2019 Certified Estimate'!H690</f>
        <v>-72728800</v>
      </c>
      <c r="I674" s="120"/>
      <c r="J674" s="126">
        <f t="shared" si="68"/>
        <v>-1</v>
      </c>
    </row>
    <row r="675" spans="1:10" ht="9.75">
      <c r="A675" s="113" t="s">
        <v>58</v>
      </c>
      <c r="H675" s="108">
        <f>'2019 Certified Estimate'!H691</f>
        <v>-4823437</v>
      </c>
      <c r="I675" s="120"/>
      <c r="J675" s="126">
        <f t="shared" si="68"/>
        <v>-1</v>
      </c>
    </row>
    <row r="676" spans="1:10" ht="10.5" thickBot="1">
      <c r="A676" s="113" t="s">
        <v>59</v>
      </c>
      <c r="H676" s="108">
        <f>'2019 Certified Estimate'!H692</f>
        <v>0</v>
      </c>
      <c r="I676" s="120">
        <v>0</v>
      </c>
      <c r="J676" s="126">
        <v>0</v>
      </c>
    </row>
    <row r="677" spans="1:12" ht="10.5" thickBot="1">
      <c r="A677" s="250" t="s">
        <v>60</v>
      </c>
      <c r="B677" s="253"/>
      <c r="C677" s="260"/>
      <c r="D677" s="253"/>
      <c r="E677" s="253"/>
      <c r="F677" s="260"/>
      <c r="G677" s="253"/>
      <c r="H677" s="254">
        <f>SUM(H665:H676)</f>
        <v>825739943</v>
      </c>
      <c r="I677" s="255">
        <f>SUM(I665:I676)</f>
        <v>0</v>
      </c>
      <c r="J677" s="256">
        <f t="shared" si="68"/>
        <v>-1</v>
      </c>
      <c r="L677" s="146"/>
    </row>
    <row r="678" spans="1:12" ht="10.5">
      <c r="A678" s="121" t="str">
        <f>A640</f>
        <v>2019 Adopted/2019 Revenue Neutral Tax Rate</v>
      </c>
      <c r="E678" s="249">
        <v>0.098738</v>
      </c>
      <c r="F678" s="139"/>
      <c r="G678" s="123"/>
      <c r="H678" s="124"/>
      <c r="I678" s="125"/>
      <c r="J678" s="117"/>
      <c r="K678" s="146"/>
      <c r="L678" s="146"/>
    </row>
    <row r="679" spans="1:11" ht="10.5">
      <c r="A679" s="146"/>
      <c r="B679" s="104"/>
      <c r="C679" s="108"/>
      <c r="D679" s="104"/>
      <c r="E679" s="104"/>
      <c r="F679" s="108"/>
      <c r="G679" s="104"/>
      <c r="H679" s="124"/>
      <c r="I679" s="125"/>
      <c r="J679" s="146"/>
      <c r="K679" s="146"/>
    </row>
    <row r="680" spans="1:10" ht="10.5">
      <c r="A680" s="146"/>
      <c r="G680" s="123"/>
      <c r="H680" s="146"/>
      <c r="I680" s="108"/>
      <c r="J680" s="146"/>
    </row>
    <row r="681" spans="1:10" ht="9.75">
      <c r="A681" s="121" t="s">
        <v>62</v>
      </c>
      <c r="H681" s="131">
        <f>(H677*E678)/100</f>
        <v>815319.10491934</v>
      </c>
      <c r="I681" s="131">
        <f>(I677*F678)/100</f>
        <v>0</v>
      </c>
      <c r="J681" s="126">
        <f>(I681-H681)/H681</f>
        <v>-1</v>
      </c>
    </row>
    <row r="682" spans="1:10" ht="9.75">
      <c r="A682" s="121" t="s">
        <v>18</v>
      </c>
      <c r="H682" s="108">
        <f>'2019 Certified Estimate'!H698</f>
        <v>19356902</v>
      </c>
      <c r="I682" s="118"/>
      <c r="J682" s="126">
        <f>(I682-H682)/H682</f>
        <v>-1</v>
      </c>
    </row>
    <row r="683" spans="1:235" s="136" customFormat="1" ht="9.75">
      <c r="A683" s="121" t="s">
        <v>17</v>
      </c>
      <c r="B683" s="9"/>
      <c r="C683" s="112"/>
      <c r="D683" s="9"/>
      <c r="E683" s="9"/>
      <c r="F683" s="112"/>
      <c r="G683" s="9"/>
      <c r="H683" s="108">
        <f>'2019 Certified Estimate'!H699</f>
        <v>32098</v>
      </c>
      <c r="I683" s="118"/>
      <c r="J683" s="126">
        <f>(I683-H683)/H683</f>
        <v>-1</v>
      </c>
      <c r="K683" s="9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  <c r="AQ683" s="144"/>
      <c r="AR683" s="144"/>
      <c r="AS683" s="144"/>
      <c r="AT683" s="144"/>
      <c r="AU683" s="144"/>
      <c r="AV683" s="144"/>
      <c r="AW683" s="144"/>
      <c r="AX683" s="144"/>
      <c r="AY683" s="144"/>
      <c r="AZ683" s="144"/>
      <c r="BA683" s="144"/>
      <c r="BB683" s="144"/>
      <c r="BC683" s="144"/>
      <c r="BD683" s="144"/>
      <c r="BE683" s="144"/>
      <c r="BF683" s="144"/>
      <c r="BG683" s="144"/>
      <c r="BH683" s="144"/>
      <c r="BI683" s="144"/>
      <c r="BJ683" s="144"/>
      <c r="BK683" s="144"/>
      <c r="BL683" s="144"/>
      <c r="BM683" s="144"/>
      <c r="BN683" s="144"/>
      <c r="BO683" s="144"/>
      <c r="BP683" s="144"/>
      <c r="BQ683" s="144"/>
      <c r="BR683" s="144"/>
      <c r="BS683" s="144"/>
      <c r="BT683" s="144"/>
      <c r="BU683" s="144"/>
      <c r="BV683" s="144"/>
      <c r="BW683" s="144"/>
      <c r="BX683" s="144"/>
      <c r="BY683" s="144"/>
      <c r="BZ683" s="144"/>
      <c r="CA683" s="144"/>
      <c r="CB683" s="144"/>
      <c r="CC683" s="144"/>
      <c r="CD683" s="144"/>
      <c r="CE683" s="144"/>
      <c r="CF683" s="144"/>
      <c r="CG683" s="144"/>
      <c r="CH683" s="144"/>
      <c r="CI683" s="144"/>
      <c r="CJ683" s="144"/>
      <c r="CK683" s="144"/>
      <c r="CL683" s="144"/>
      <c r="CM683" s="144"/>
      <c r="CN683" s="144"/>
      <c r="CO683" s="144"/>
      <c r="CP683" s="144"/>
      <c r="CQ683" s="144"/>
      <c r="CR683" s="144"/>
      <c r="CS683" s="144"/>
      <c r="CT683" s="144"/>
      <c r="CU683" s="144"/>
      <c r="CV683" s="144"/>
      <c r="CW683" s="144"/>
      <c r="CX683" s="144"/>
      <c r="CY683" s="144"/>
      <c r="CZ683" s="144"/>
      <c r="DA683" s="144"/>
      <c r="DB683" s="144"/>
      <c r="DC683" s="144"/>
      <c r="DD683" s="144"/>
      <c r="DE683" s="144"/>
      <c r="DF683" s="144"/>
      <c r="DG683" s="144"/>
      <c r="DH683" s="144"/>
      <c r="DI683" s="144"/>
      <c r="DJ683" s="144"/>
      <c r="DK683" s="144"/>
      <c r="DL683" s="144"/>
      <c r="DM683" s="144"/>
      <c r="DN683" s="144"/>
      <c r="DO683" s="144"/>
      <c r="DP683" s="144"/>
      <c r="DQ683" s="144"/>
      <c r="DR683" s="144"/>
      <c r="DS683" s="144"/>
      <c r="DT683" s="144"/>
      <c r="DU683" s="144"/>
      <c r="DV683" s="144"/>
      <c r="DW683" s="144"/>
      <c r="DX683" s="144"/>
      <c r="DY683" s="144"/>
      <c r="DZ683" s="144"/>
      <c r="EA683" s="144"/>
      <c r="EB683" s="144"/>
      <c r="EC683" s="144"/>
      <c r="ED683" s="144"/>
      <c r="EE683" s="144"/>
      <c r="EF683" s="144"/>
      <c r="EG683" s="144"/>
      <c r="EH683" s="144"/>
      <c r="EI683" s="144"/>
      <c r="EJ683" s="144"/>
      <c r="EK683" s="144"/>
      <c r="EL683" s="144"/>
      <c r="EM683" s="144"/>
      <c r="EN683" s="144"/>
      <c r="EO683" s="144"/>
      <c r="EP683" s="144"/>
      <c r="EQ683" s="144"/>
      <c r="ER683" s="144"/>
      <c r="ES683" s="144"/>
      <c r="ET683" s="144"/>
      <c r="EU683" s="144"/>
      <c r="EV683" s="144"/>
      <c r="EW683" s="144"/>
      <c r="EX683" s="144"/>
      <c r="EY683" s="144"/>
      <c r="EZ683" s="144"/>
      <c r="FA683" s="144"/>
      <c r="FB683" s="144"/>
      <c r="FC683" s="144"/>
      <c r="FD683" s="144"/>
      <c r="FE683" s="144"/>
      <c r="FF683" s="144"/>
      <c r="FG683" s="144"/>
      <c r="FH683" s="144"/>
      <c r="FI683" s="144"/>
      <c r="FJ683" s="144"/>
      <c r="FK683" s="144"/>
      <c r="FL683" s="144"/>
      <c r="FM683" s="144"/>
      <c r="FN683" s="144"/>
      <c r="FO683" s="144"/>
      <c r="FP683" s="144"/>
      <c r="FQ683" s="144"/>
      <c r="FR683" s="144"/>
      <c r="FS683" s="144"/>
      <c r="FT683" s="144"/>
      <c r="FU683" s="144"/>
      <c r="FV683" s="144"/>
      <c r="FW683" s="144"/>
      <c r="FX683" s="144"/>
      <c r="FY683" s="144"/>
      <c r="FZ683" s="144"/>
      <c r="GA683" s="144"/>
      <c r="GB683" s="144"/>
      <c r="GC683" s="144"/>
      <c r="GD683" s="144"/>
      <c r="GE683" s="144"/>
      <c r="GF683" s="144"/>
      <c r="GG683" s="144"/>
      <c r="GH683" s="144"/>
      <c r="GI683" s="144"/>
      <c r="GJ683" s="144"/>
      <c r="GK683" s="144"/>
      <c r="GL683" s="144"/>
      <c r="GM683" s="144"/>
      <c r="GN683" s="144"/>
      <c r="GO683" s="144"/>
      <c r="GP683" s="144"/>
      <c r="GQ683" s="144"/>
      <c r="GR683" s="144"/>
      <c r="GS683" s="144"/>
      <c r="GT683" s="144"/>
      <c r="GU683" s="144"/>
      <c r="GV683" s="144"/>
      <c r="GW683" s="144"/>
      <c r="GX683" s="144"/>
      <c r="GY683" s="144"/>
      <c r="GZ683" s="144"/>
      <c r="HA683" s="144"/>
      <c r="HB683" s="144"/>
      <c r="HC683" s="144"/>
      <c r="HD683" s="144"/>
      <c r="HE683" s="144"/>
      <c r="HF683" s="144"/>
      <c r="HG683" s="144"/>
      <c r="HH683" s="144"/>
      <c r="HI683" s="144"/>
      <c r="HJ683" s="144"/>
      <c r="HK683" s="144"/>
      <c r="HL683" s="144"/>
      <c r="HM683" s="144"/>
      <c r="HN683" s="144"/>
      <c r="HO683" s="144"/>
      <c r="HP683" s="144"/>
      <c r="HQ683" s="144"/>
      <c r="HR683" s="144"/>
      <c r="HS683" s="144"/>
      <c r="HT683" s="144"/>
      <c r="HU683" s="144"/>
      <c r="HV683" s="144"/>
      <c r="HW683" s="144"/>
      <c r="HX683" s="144"/>
      <c r="HY683" s="144"/>
      <c r="HZ683" s="144"/>
      <c r="IA683" s="144"/>
    </row>
    <row r="684" spans="3:11" s="220" customFormat="1" ht="10.5" thickBot="1">
      <c r="C684" s="373"/>
      <c r="F684" s="373"/>
      <c r="I684" s="373"/>
      <c r="K684" s="221"/>
    </row>
    <row r="685" spans="1:11" ht="10.5" thickBot="1">
      <c r="A685" s="267" t="s">
        <v>166</v>
      </c>
      <c r="B685" s="95" t="s">
        <v>32</v>
      </c>
      <c r="C685" s="372"/>
      <c r="D685" s="97"/>
      <c r="E685" s="95" t="s">
        <v>33</v>
      </c>
      <c r="F685" s="372"/>
      <c r="G685" s="97"/>
      <c r="H685" s="95" t="s">
        <v>34</v>
      </c>
      <c r="I685" s="372"/>
      <c r="J685" s="97"/>
      <c r="K685" s="99"/>
    </row>
    <row r="686" spans="1:11" ht="9.75">
      <c r="A686" s="9" t="s">
        <v>35</v>
      </c>
      <c r="B686" s="285" t="s">
        <v>200</v>
      </c>
      <c r="C686" s="308" t="s">
        <v>202</v>
      </c>
      <c r="D686" s="100" t="s">
        <v>67</v>
      </c>
      <c r="E686" s="285" t="str">
        <f>B686</f>
        <v>2018 Certified</v>
      </c>
      <c r="F686" s="308" t="s">
        <v>202</v>
      </c>
      <c r="G686" s="100" t="s">
        <v>67</v>
      </c>
      <c r="H686" s="101" t="str">
        <f>B686</f>
        <v>2018 Certified</v>
      </c>
      <c r="I686" s="384" t="s">
        <v>204</v>
      </c>
      <c r="J686" s="100" t="s">
        <v>67</v>
      </c>
      <c r="K686" s="207" t="s">
        <v>71</v>
      </c>
    </row>
    <row r="687" spans="1:11" ht="9.75">
      <c r="A687" s="93"/>
      <c r="B687" s="103"/>
      <c r="C687" s="108"/>
      <c r="D687" s="105"/>
      <c r="E687" s="103"/>
      <c r="F687" s="108"/>
      <c r="G687" s="105"/>
      <c r="H687" s="103"/>
      <c r="I687" s="108"/>
      <c r="J687" s="105"/>
      <c r="K687" s="106"/>
    </row>
    <row r="688" spans="1:11" ht="9.75">
      <c r="A688" s="9" t="s">
        <v>36</v>
      </c>
      <c r="B688" s="107">
        <v>0</v>
      </c>
      <c r="C688" s="108">
        <v>0</v>
      </c>
      <c r="D688" s="105"/>
      <c r="E688" s="108">
        <f>'2019 Certified Estimate'!E705</f>
        <v>14791830</v>
      </c>
      <c r="F688" s="108"/>
      <c r="G688" s="110">
        <f>(F688-E688)/E688</f>
        <v>-1</v>
      </c>
      <c r="H688" s="107">
        <f aca="true" t="shared" si="69" ref="H688:H698">B688+E688</f>
        <v>14791830</v>
      </c>
      <c r="I688" s="108">
        <f aca="true" t="shared" si="70" ref="I688:I698">C688+F688</f>
        <v>0</v>
      </c>
      <c r="J688" s="110">
        <f aca="true" t="shared" si="71" ref="J688:J715">(I688-H688)/H688</f>
        <v>-1</v>
      </c>
      <c r="K688" s="111" t="e">
        <f>I688/I699</f>
        <v>#DIV/0!</v>
      </c>
    </row>
    <row r="689" spans="1:11" ht="9.75">
      <c r="A689" s="9" t="s">
        <v>37</v>
      </c>
      <c r="B689" s="107">
        <v>0</v>
      </c>
      <c r="C689" s="108">
        <v>0</v>
      </c>
      <c r="D689" s="105"/>
      <c r="E689" s="108">
        <f>'2019 Certified Estimate'!E706</f>
        <v>0</v>
      </c>
      <c r="F689" s="108">
        <v>0</v>
      </c>
      <c r="G689" s="110">
        <v>0</v>
      </c>
      <c r="H689" s="107">
        <f t="shared" si="69"/>
        <v>0</v>
      </c>
      <c r="I689" s="108">
        <f t="shared" si="70"/>
        <v>0</v>
      </c>
      <c r="J689" s="110">
        <v>0</v>
      </c>
      <c r="K689" s="111" t="e">
        <f>I689/I699</f>
        <v>#DIV/0!</v>
      </c>
    </row>
    <row r="690" spans="1:11" ht="9.75">
      <c r="A690" s="9" t="s">
        <v>38</v>
      </c>
      <c r="B690" s="107">
        <v>0</v>
      </c>
      <c r="C690" s="108">
        <v>0</v>
      </c>
      <c r="D690" s="105"/>
      <c r="E690" s="108">
        <f>'2019 Certified Estimate'!E707</f>
        <v>632470</v>
      </c>
      <c r="F690" s="108"/>
      <c r="G690" s="110">
        <f aca="true" t="shared" si="72" ref="G690:G699">(F690-E690)/E690</f>
        <v>-1</v>
      </c>
      <c r="H690" s="107">
        <f t="shared" si="69"/>
        <v>632470</v>
      </c>
      <c r="I690" s="108">
        <f t="shared" si="70"/>
        <v>0</v>
      </c>
      <c r="J690" s="110">
        <f t="shared" si="71"/>
        <v>-1</v>
      </c>
      <c r="K690" s="111" t="e">
        <f>I690/I699</f>
        <v>#DIV/0!</v>
      </c>
    </row>
    <row r="691" spans="1:11" ht="9.75">
      <c r="A691" s="9" t="s">
        <v>39</v>
      </c>
      <c r="B691" s="107">
        <v>0</v>
      </c>
      <c r="C691" s="108">
        <v>0</v>
      </c>
      <c r="D691" s="105"/>
      <c r="E691" s="108">
        <f>'2019 Certified Estimate'!E708</f>
        <v>137209910</v>
      </c>
      <c r="F691" s="108"/>
      <c r="G691" s="110">
        <f t="shared" si="72"/>
        <v>-1</v>
      </c>
      <c r="H691" s="107">
        <f t="shared" si="69"/>
        <v>137209910</v>
      </c>
      <c r="I691" s="108">
        <f t="shared" si="70"/>
        <v>0</v>
      </c>
      <c r="J691" s="110">
        <f t="shared" si="71"/>
        <v>-1</v>
      </c>
      <c r="K691" s="111" t="e">
        <f>I691/I699</f>
        <v>#DIV/0!</v>
      </c>
    </row>
    <row r="692" spans="1:11" ht="9.75">
      <c r="A692" s="9" t="s">
        <v>40</v>
      </c>
      <c r="B692" s="107">
        <v>3464990</v>
      </c>
      <c r="C692" s="108"/>
      <c r="D692" s="110">
        <f>(C692-B692)/B692</f>
        <v>-1</v>
      </c>
      <c r="E692" s="108">
        <f>'2019 Certified Estimate'!E709</f>
        <v>11810230</v>
      </c>
      <c r="F692" s="108"/>
      <c r="G692" s="110">
        <f t="shared" si="72"/>
        <v>-1</v>
      </c>
      <c r="H692" s="107">
        <f t="shared" si="69"/>
        <v>15275220</v>
      </c>
      <c r="I692" s="108">
        <f t="shared" si="70"/>
        <v>0</v>
      </c>
      <c r="J692" s="110">
        <f t="shared" si="71"/>
        <v>-1</v>
      </c>
      <c r="K692" s="111" t="e">
        <f>I692/I699</f>
        <v>#DIV/0!</v>
      </c>
    </row>
    <row r="693" spans="1:11" ht="9.75">
      <c r="A693" s="9" t="s">
        <v>41</v>
      </c>
      <c r="B693" s="107">
        <v>31258180</v>
      </c>
      <c r="C693" s="109"/>
      <c r="D693" s="110">
        <f>(C693-B693)/B693</f>
        <v>-1</v>
      </c>
      <c r="E693" s="108">
        <f>'2019 Certified Estimate'!E710</f>
        <v>0</v>
      </c>
      <c r="F693" s="108">
        <v>0</v>
      </c>
      <c r="G693" s="110">
        <v>0</v>
      </c>
      <c r="H693" s="107">
        <f t="shared" si="69"/>
        <v>31258180</v>
      </c>
      <c r="I693" s="108">
        <f t="shared" si="70"/>
        <v>0</v>
      </c>
      <c r="J693" s="110">
        <f t="shared" si="71"/>
        <v>-1</v>
      </c>
      <c r="K693" s="111" t="e">
        <f>I693/I699</f>
        <v>#DIV/0!</v>
      </c>
    </row>
    <row r="694" spans="1:11" ht="9.75">
      <c r="A694" s="9" t="s">
        <v>42</v>
      </c>
      <c r="B694" s="107">
        <v>19492040</v>
      </c>
      <c r="C694" s="109"/>
      <c r="D694" s="110">
        <f>(C694-B694)/B694</f>
        <v>-1</v>
      </c>
      <c r="E694" s="108">
        <f>'2019 Certified Estimate'!E711</f>
        <v>10180</v>
      </c>
      <c r="F694" s="108"/>
      <c r="G694" s="110">
        <f t="shared" si="72"/>
        <v>-1</v>
      </c>
      <c r="H694" s="107">
        <f t="shared" si="69"/>
        <v>19502220</v>
      </c>
      <c r="I694" s="108">
        <f t="shared" si="70"/>
        <v>0</v>
      </c>
      <c r="J694" s="110">
        <f t="shared" si="71"/>
        <v>-1</v>
      </c>
      <c r="K694" s="111" t="e">
        <f>I694/I699</f>
        <v>#DIV/0!</v>
      </c>
    </row>
    <row r="695" spans="1:11" ht="9.75">
      <c r="A695" s="9" t="s">
        <v>43</v>
      </c>
      <c r="B695" s="107">
        <v>37061940</v>
      </c>
      <c r="C695" s="109"/>
      <c r="D695" s="110">
        <f>(C695-B695)/B695</f>
        <v>-1</v>
      </c>
      <c r="E695" s="108">
        <f>'2019 Certified Estimate'!E712</f>
        <v>2955420</v>
      </c>
      <c r="F695" s="108"/>
      <c r="G695" s="110">
        <f t="shared" si="72"/>
        <v>-1</v>
      </c>
      <c r="H695" s="107">
        <f t="shared" si="69"/>
        <v>40017360</v>
      </c>
      <c r="I695" s="108">
        <f t="shared" si="70"/>
        <v>0</v>
      </c>
      <c r="J695" s="110">
        <f t="shared" si="71"/>
        <v>-1</v>
      </c>
      <c r="K695" s="111" t="e">
        <f>I695/I699</f>
        <v>#DIV/0!</v>
      </c>
    </row>
    <row r="696" spans="1:11" ht="9.75">
      <c r="A696" s="9" t="s">
        <v>44</v>
      </c>
      <c r="B696" s="107">
        <v>0</v>
      </c>
      <c r="C696" s="108">
        <v>0</v>
      </c>
      <c r="D696" s="110"/>
      <c r="E696" s="108">
        <f>'2019 Certified Estimate'!E713</f>
        <v>3480340</v>
      </c>
      <c r="F696" s="108"/>
      <c r="G696" s="110">
        <f t="shared" si="72"/>
        <v>-1</v>
      </c>
      <c r="H696" s="107">
        <f t="shared" si="69"/>
        <v>3480340</v>
      </c>
      <c r="I696" s="108">
        <f t="shared" si="70"/>
        <v>0</v>
      </c>
      <c r="J696" s="110">
        <f t="shared" si="71"/>
        <v>-1</v>
      </c>
      <c r="K696" s="111" t="e">
        <f>I696/I699</f>
        <v>#DIV/0!</v>
      </c>
    </row>
    <row r="697" spans="1:11" ht="9.75">
      <c r="A697" s="9" t="s">
        <v>45</v>
      </c>
      <c r="B697" s="107">
        <v>0</v>
      </c>
      <c r="C697" s="108">
        <v>0</v>
      </c>
      <c r="D697" s="110"/>
      <c r="E697" s="108">
        <f>'2019 Certified Estimate'!E714</f>
        <v>14480</v>
      </c>
      <c r="F697" s="108"/>
      <c r="G697" s="110">
        <f t="shared" si="72"/>
        <v>-1</v>
      </c>
      <c r="H697" s="107">
        <f t="shared" si="69"/>
        <v>14480</v>
      </c>
      <c r="I697" s="108">
        <f t="shared" si="70"/>
        <v>0</v>
      </c>
      <c r="J697" s="110">
        <f t="shared" si="71"/>
        <v>-1</v>
      </c>
      <c r="K697" s="111" t="e">
        <f>I697/I699</f>
        <v>#DIV/0!</v>
      </c>
    </row>
    <row r="698" spans="1:14" ht="10.5" thickBot="1">
      <c r="A698" s="9" t="s">
        <v>64</v>
      </c>
      <c r="B698" s="107">
        <v>0</v>
      </c>
      <c r="C698" s="108">
        <v>0</v>
      </c>
      <c r="D698" s="110"/>
      <c r="E698" s="108">
        <f>'2019 Certified Estimate'!E715</f>
        <v>6589880</v>
      </c>
      <c r="F698" s="108"/>
      <c r="G698" s="110">
        <f t="shared" si="72"/>
        <v>-1</v>
      </c>
      <c r="H698" s="107">
        <f t="shared" si="69"/>
        <v>6589880</v>
      </c>
      <c r="I698" s="108">
        <f t="shared" si="70"/>
        <v>0</v>
      </c>
      <c r="J698" s="110">
        <f t="shared" si="71"/>
        <v>-1</v>
      </c>
      <c r="K698" s="275" t="e">
        <f>I698/I699</f>
        <v>#DIV/0!</v>
      </c>
      <c r="L698" s="104"/>
      <c r="M698" s="104"/>
      <c r="N698" s="104"/>
    </row>
    <row r="699" spans="1:14" ht="10.5" thickBot="1">
      <c r="A699" s="250" t="s">
        <v>47</v>
      </c>
      <c r="B699" s="259">
        <f>SUM(B688:B698)</f>
        <v>91277150</v>
      </c>
      <c r="C699" s="260">
        <f>SUM(C688:C698)</f>
        <v>0</v>
      </c>
      <c r="D699" s="256">
        <v>1</v>
      </c>
      <c r="E699" s="259">
        <f>SUM(E688:E698)</f>
        <v>177494740</v>
      </c>
      <c r="F699" s="260">
        <f>SUM(F688:F698)</f>
        <v>0</v>
      </c>
      <c r="G699" s="256">
        <f t="shared" si="72"/>
        <v>-1</v>
      </c>
      <c r="H699" s="263">
        <f>SUM(H688:H698)</f>
        <v>268771890</v>
      </c>
      <c r="I699" s="255">
        <f>SUM(I688:I698)</f>
        <v>0</v>
      </c>
      <c r="J699" s="256">
        <f t="shared" si="71"/>
        <v>-1</v>
      </c>
      <c r="K699" s="261" t="e">
        <f>SUM(K688:K698)</f>
        <v>#DIV/0!</v>
      </c>
      <c r="L699" s="104"/>
      <c r="M699" s="104"/>
      <c r="N699" s="104"/>
    </row>
    <row r="700" spans="1:14" ht="9.75">
      <c r="A700" s="113" t="str">
        <f>A92</f>
        <v>Less Minimum Value Loss</v>
      </c>
      <c r="H700" s="108">
        <f>'2019 Certified Estimate'!H717</f>
        <v>0</v>
      </c>
      <c r="I700" s="118">
        <v>0</v>
      </c>
      <c r="J700" s="110">
        <v>0</v>
      </c>
      <c r="L700" s="104"/>
      <c r="M700" s="104"/>
      <c r="N700" s="104"/>
    </row>
    <row r="701" spans="1:14" ht="9.75">
      <c r="A701" s="113" t="s">
        <v>174</v>
      </c>
      <c r="H701" s="108">
        <f>'2019 Certified Estimate'!H718</f>
        <v>-254870</v>
      </c>
      <c r="I701" s="118"/>
      <c r="J701" s="110">
        <f t="shared" si="71"/>
        <v>-1</v>
      </c>
      <c r="L701" s="104"/>
      <c r="M701" s="104"/>
      <c r="N701" s="104"/>
    </row>
    <row r="702" spans="1:14" ht="10.5" thickBot="1">
      <c r="A702" s="113" t="s">
        <v>49</v>
      </c>
      <c r="H702" s="108">
        <f>'2019 Certified Estimate'!H719</f>
        <v>-43101020</v>
      </c>
      <c r="I702" s="118"/>
      <c r="J702" s="110">
        <f t="shared" si="71"/>
        <v>-1</v>
      </c>
      <c r="L702" s="104"/>
      <c r="M702" s="104"/>
      <c r="N702" s="104"/>
    </row>
    <row r="703" spans="1:14" ht="10.5" thickBot="1">
      <c r="A703" s="250" t="s">
        <v>50</v>
      </c>
      <c r="B703" s="253"/>
      <c r="C703" s="260"/>
      <c r="D703" s="253"/>
      <c r="E703" s="253"/>
      <c r="F703" s="260"/>
      <c r="G703" s="253"/>
      <c r="H703" s="254">
        <f>SUM(H699:H702)</f>
        <v>225416000</v>
      </c>
      <c r="I703" s="255">
        <f>SUM(I699:I702)</f>
        <v>0</v>
      </c>
      <c r="J703" s="256">
        <f t="shared" si="71"/>
        <v>-1</v>
      </c>
      <c r="L703" s="104"/>
      <c r="M703" s="104"/>
      <c r="N703" s="104"/>
    </row>
    <row r="704" spans="1:14" ht="9.75">
      <c r="A704" s="113" t="s">
        <v>127</v>
      </c>
      <c r="H704" s="108">
        <f>'2019 Certified Estimate'!H721</f>
        <v>-227770</v>
      </c>
      <c r="I704" s="120"/>
      <c r="J704" s="110">
        <f t="shared" si="71"/>
        <v>-1</v>
      </c>
      <c r="L704" s="104"/>
      <c r="M704" s="104"/>
      <c r="N704" s="104"/>
    </row>
    <row r="705" spans="1:14" ht="9.75">
      <c r="A705" s="113" t="s">
        <v>78</v>
      </c>
      <c r="H705" s="108">
        <f>'2019 Certified Estimate'!H722</f>
        <v>0</v>
      </c>
      <c r="I705" s="120">
        <v>0</v>
      </c>
      <c r="J705" s="110">
        <v>0</v>
      </c>
      <c r="L705" s="104"/>
      <c r="M705" s="104"/>
      <c r="N705" s="104"/>
    </row>
    <row r="706" spans="1:14" ht="9.75">
      <c r="A706" s="113" t="s">
        <v>128</v>
      </c>
      <c r="H706" s="108">
        <f>'2019 Certified Estimate'!H723</f>
        <v>0</v>
      </c>
      <c r="I706" s="120">
        <v>0</v>
      </c>
      <c r="J706" s="110">
        <v>0</v>
      </c>
      <c r="L706" s="104"/>
      <c r="M706" s="104"/>
      <c r="N706" s="104"/>
    </row>
    <row r="707" spans="1:14" ht="9.75">
      <c r="A707" s="113" t="s">
        <v>157</v>
      </c>
      <c r="H707" s="108">
        <f>'2019 Certified Estimate'!H724</f>
        <v>-7778910</v>
      </c>
      <c r="I707" s="118"/>
      <c r="J707" s="110">
        <f t="shared" si="71"/>
        <v>-1</v>
      </c>
      <c r="L707" s="104"/>
      <c r="M707" s="104"/>
      <c r="N707" s="104"/>
    </row>
    <row r="708" spans="1:14" ht="9.75">
      <c r="A708" s="113" t="s">
        <v>53</v>
      </c>
      <c r="H708" s="108">
        <f>'2019 Certified Estimate'!H725</f>
        <v>0</v>
      </c>
      <c r="I708" s="118">
        <v>0</v>
      </c>
      <c r="J708" s="110">
        <v>0</v>
      </c>
      <c r="L708" s="104"/>
      <c r="M708" s="104"/>
      <c r="N708" s="104"/>
    </row>
    <row r="709" spans="1:14" ht="9.75">
      <c r="A709" s="113" t="s">
        <v>54</v>
      </c>
      <c r="H709" s="108">
        <f>'2019 Certified Estimate'!H726</f>
        <v>0</v>
      </c>
      <c r="I709" s="118">
        <v>0</v>
      </c>
      <c r="J709" s="110">
        <v>0</v>
      </c>
      <c r="L709" s="104"/>
      <c r="M709" s="104"/>
      <c r="N709" s="104"/>
    </row>
    <row r="710" spans="1:14" ht="9.75">
      <c r="A710" s="113" t="s">
        <v>55</v>
      </c>
      <c r="H710" s="108">
        <f>'2019 Certified Estimate'!H727</f>
        <v>0</v>
      </c>
      <c r="I710" s="118">
        <v>0</v>
      </c>
      <c r="J710" s="110">
        <v>0</v>
      </c>
      <c r="L710" s="104"/>
      <c r="M710" s="104"/>
      <c r="N710" s="104"/>
    </row>
    <row r="711" spans="1:14" ht="9.75">
      <c r="A711" s="113" t="s">
        <v>56</v>
      </c>
      <c r="H711" s="108">
        <f>'2019 Certified Estimate'!H728</f>
        <v>-2098687</v>
      </c>
      <c r="I711" s="118"/>
      <c r="J711" s="110">
        <f t="shared" si="71"/>
        <v>-1</v>
      </c>
      <c r="L711" s="104"/>
      <c r="M711" s="104"/>
      <c r="N711" s="104"/>
    </row>
    <row r="712" spans="1:14" ht="9.75">
      <c r="A712" s="113" t="s">
        <v>57</v>
      </c>
      <c r="H712" s="108">
        <f>'2019 Certified Estimate'!H729</f>
        <v>-13145884</v>
      </c>
      <c r="I712" s="120"/>
      <c r="J712" s="110">
        <f t="shared" si="71"/>
        <v>-1</v>
      </c>
      <c r="L712" s="104"/>
      <c r="M712" s="104"/>
      <c r="N712" s="104"/>
    </row>
    <row r="713" spans="1:14" ht="9.75">
      <c r="A713" s="113" t="s">
        <v>58</v>
      </c>
      <c r="H713" s="108">
        <f>'2019 Certified Estimate'!H730</f>
        <v>-1791907</v>
      </c>
      <c r="I713" s="120"/>
      <c r="J713" s="110">
        <f t="shared" si="71"/>
        <v>-1</v>
      </c>
      <c r="L713" s="104"/>
      <c r="M713" s="104"/>
      <c r="N713" s="104"/>
    </row>
    <row r="714" spans="1:14" ht="10.5" thickBot="1">
      <c r="A714" s="113" t="s">
        <v>59</v>
      </c>
      <c r="H714" s="108">
        <f>'2019 Certified Estimate'!H731</f>
        <v>0</v>
      </c>
      <c r="I714" s="120">
        <v>0</v>
      </c>
      <c r="J714" s="110">
        <v>0</v>
      </c>
      <c r="L714" s="104"/>
      <c r="M714" s="104"/>
      <c r="N714" s="104"/>
    </row>
    <row r="715" spans="1:15" ht="10.5" thickBot="1">
      <c r="A715" s="250" t="s">
        <v>60</v>
      </c>
      <c r="B715" s="253"/>
      <c r="C715" s="260"/>
      <c r="D715" s="253"/>
      <c r="E715" s="253"/>
      <c r="F715" s="260"/>
      <c r="G715" s="253"/>
      <c r="H715" s="254">
        <f>SUM(H703:H714)</f>
        <v>200372842</v>
      </c>
      <c r="I715" s="255">
        <f>SUM(I703:I714)</f>
        <v>0</v>
      </c>
      <c r="J715" s="256">
        <f t="shared" si="71"/>
        <v>-1</v>
      </c>
      <c r="L715" s="104"/>
      <c r="M715" s="104"/>
      <c r="N715" s="104"/>
      <c r="O715" s="104"/>
    </row>
    <row r="716" spans="1:15" ht="10.5">
      <c r="A716" s="121" t="str">
        <f>A678</f>
        <v>2019 Adopted/2019 Revenue Neutral Tax Rate</v>
      </c>
      <c r="E716" s="217">
        <v>0.1</v>
      </c>
      <c r="F716" s="139"/>
      <c r="G716" s="123"/>
      <c r="H716" s="124"/>
      <c r="I716" s="125"/>
      <c r="J716" s="117"/>
      <c r="K716" s="146"/>
      <c r="L716" s="104"/>
      <c r="M716" s="104"/>
      <c r="N716" s="104"/>
      <c r="O716" s="104"/>
    </row>
    <row r="717" spans="1:11" ht="10.5">
      <c r="A717" s="146"/>
      <c r="B717" s="104"/>
      <c r="C717" s="108"/>
      <c r="D717" s="104"/>
      <c r="E717" s="104"/>
      <c r="F717" s="108"/>
      <c r="G717" s="104"/>
      <c r="H717" s="124"/>
      <c r="I717" s="125"/>
      <c r="J717" s="146"/>
      <c r="K717" s="146"/>
    </row>
    <row r="718" spans="1:10" ht="10.5">
      <c r="A718" s="146"/>
      <c r="G718" s="123"/>
      <c r="H718" s="146"/>
      <c r="I718" s="108"/>
      <c r="J718" s="146"/>
    </row>
    <row r="719" spans="1:10" ht="9.75">
      <c r="A719" s="121" t="s">
        <v>62</v>
      </c>
      <c r="H719" s="131">
        <f>(H715*E716)/100</f>
        <v>200372.842</v>
      </c>
      <c r="I719" s="131">
        <f>(I715*F716)/100</f>
        <v>0</v>
      </c>
      <c r="J719" s="126">
        <f>(I719-H719)/H719</f>
        <v>-1</v>
      </c>
    </row>
    <row r="720" spans="1:10" ht="9.75">
      <c r="A720" s="121" t="s">
        <v>18</v>
      </c>
      <c r="H720" s="108">
        <f>'2019 Certified Estimate'!H737</f>
        <v>2658814</v>
      </c>
      <c r="I720" s="118"/>
      <c r="J720" s="126">
        <f>(I720-H720)/H720</f>
        <v>-1</v>
      </c>
    </row>
    <row r="721" spans="1:10" ht="9.75">
      <c r="A721" s="121" t="s">
        <v>17</v>
      </c>
      <c r="H721" s="108">
        <f>'2019 Certified Estimate'!H738</f>
        <v>15436</v>
      </c>
      <c r="I721" s="118"/>
      <c r="J721" s="126">
        <f>(I721-H721)/H721</f>
        <v>-1</v>
      </c>
    </row>
    <row r="722" spans="1:11" ht="10.5" thickBot="1">
      <c r="A722" s="220"/>
      <c r="B722" s="220"/>
      <c r="C722" s="373"/>
      <c r="D722" s="220"/>
      <c r="E722" s="220"/>
      <c r="F722" s="373"/>
      <c r="G722" s="220"/>
      <c r="H722" s="220"/>
      <c r="I722" s="373"/>
      <c r="J722" s="220"/>
      <c r="K722" s="221"/>
    </row>
    <row r="723" spans="1:11" ht="10.5" thickBot="1">
      <c r="A723" s="267" t="s">
        <v>167</v>
      </c>
      <c r="B723" s="95" t="s">
        <v>32</v>
      </c>
      <c r="C723" s="372"/>
      <c r="D723" s="97"/>
      <c r="E723" s="95" t="s">
        <v>33</v>
      </c>
      <c r="F723" s="372"/>
      <c r="G723" s="97"/>
      <c r="H723" s="95" t="s">
        <v>34</v>
      </c>
      <c r="I723" s="372"/>
      <c r="J723" s="97"/>
      <c r="K723" s="99"/>
    </row>
    <row r="724" spans="1:11" ht="9.75">
      <c r="A724" s="9" t="s">
        <v>35</v>
      </c>
      <c r="B724" s="285" t="s">
        <v>200</v>
      </c>
      <c r="C724" s="308" t="s">
        <v>202</v>
      </c>
      <c r="D724" s="100" t="s">
        <v>67</v>
      </c>
      <c r="E724" s="285" t="str">
        <f>B724</f>
        <v>2018 Certified</v>
      </c>
      <c r="F724" s="308" t="s">
        <v>202</v>
      </c>
      <c r="G724" s="100" t="s">
        <v>67</v>
      </c>
      <c r="H724" s="101" t="str">
        <f>B724</f>
        <v>2018 Certified</v>
      </c>
      <c r="I724" s="384" t="s">
        <v>204</v>
      </c>
      <c r="J724" s="100" t="s">
        <v>67</v>
      </c>
      <c r="K724" s="207" t="s">
        <v>71</v>
      </c>
    </row>
    <row r="725" spans="1:11" ht="9.75">
      <c r="A725" s="93"/>
      <c r="B725" s="103"/>
      <c r="C725" s="108"/>
      <c r="D725" s="105"/>
      <c r="E725" s="103"/>
      <c r="F725" s="108"/>
      <c r="G725" s="105"/>
      <c r="H725" s="103"/>
      <c r="I725" s="108"/>
      <c r="J725" s="105"/>
      <c r="K725" s="106"/>
    </row>
    <row r="726" spans="1:11" ht="9.75">
      <c r="A726" s="9" t="s">
        <v>36</v>
      </c>
      <c r="B726" s="107">
        <v>0</v>
      </c>
      <c r="C726" s="108">
        <v>0</v>
      </c>
      <c r="D726" s="105"/>
      <c r="E726" s="108">
        <f>'2019 Certified Estimate'!E744</f>
        <v>84771130</v>
      </c>
      <c r="F726" s="108"/>
      <c r="G726" s="110">
        <f aca="true" t="shared" si="73" ref="G726:G737">(F726-E726)/E726</f>
        <v>-1</v>
      </c>
      <c r="H726" s="107">
        <f aca="true" t="shared" si="74" ref="H726:H736">B726+E726</f>
        <v>84771130</v>
      </c>
      <c r="I726" s="108">
        <f aca="true" t="shared" si="75" ref="I726:I736">C726+F726</f>
        <v>0</v>
      </c>
      <c r="J726" s="110">
        <f aca="true" t="shared" si="76" ref="J726:J753">(I726-H726)/H726</f>
        <v>-1</v>
      </c>
      <c r="K726" s="111" t="e">
        <f>I726/I737</f>
        <v>#DIV/0!</v>
      </c>
    </row>
    <row r="727" spans="1:11" ht="9.75">
      <c r="A727" s="9" t="s">
        <v>37</v>
      </c>
      <c r="B727" s="107">
        <v>0</v>
      </c>
      <c r="C727" s="108">
        <v>0</v>
      </c>
      <c r="D727" s="105"/>
      <c r="E727" s="108">
        <f>'2019 Certified Estimate'!E745</f>
        <v>1640950</v>
      </c>
      <c r="F727" s="108"/>
      <c r="G727" s="110">
        <f t="shared" si="73"/>
        <v>-1</v>
      </c>
      <c r="H727" s="107">
        <f t="shared" si="74"/>
        <v>1640950</v>
      </c>
      <c r="I727" s="108">
        <f t="shared" si="75"/>
        <v>0</v>
      </c>
      <c r="J727" s="110">
        <f t="shared" si="76"/>
        <v>-1</v>
      </c>
      <c r="K727" s="111" t="e">
        <f>I727/I737</f>
        <v>#DIV/0!</v>
      </c>
    </row>
    <row r="728" spans="1:11" ht="9.75">
      <c r="A728" s="9" t="s">
        <v>38</v>
      </c>
      <c r="B728" s="107">
        <v>0</v>
      </c>
      <c r="C728" s="108">
        <v>0</v>
      </c>
      <c r="D728" s="105"/>
      <c r="E728" s="108">
        <f>'2019 Certified Estimate'!E746</f>
        <v>4400620</v>
      </c>
      <c r="F728" s="108"/>
      <c r="G728" s="110">
        <f t="shared" si="73"/>
        <v>-1</v>
      </c>
      <c r="H728" s="107">
        <f t="shared" si="74"/>
        <v>4400620</v>
      </c>
      <c r="I728" s="108">
        <f t="shared" si="75"/>
        <v>0</v>
      </c>
      <c r="J728" s="110">
        <f t="shared" si="76"/>
        <v>-1</v>
      </c>
      <c r="K728" s="111" t="e">
        <f>I728/I737</f>
        <v>#DIV/0!</v>
      </c>
    </row>
    <row r="729" spans="1:11" ht="9.75">
      <c r="A729" s="9" t="s">
        <v>39</v>
      </c>
      <c r="B729" s="107">
        <v>0</v>
      </c>
      <c r="C729" s="108">
        <v>0</v>
      </c>
      <c r="D729" s="105"/>
      <c r="E729" s="108">
        <f>'2019 Certified Estimate'!E747</f>
        <v>185444530</v>
      </c>
      <c r="F729" s="108"/>
      <c r="G729" s="110">
        <f t="shared" si="73"/>
        <v>-1</v>
      </c>
      <c r="H729" s="107">
        <f t="shared" si="74"/>
        <v>185444530</v>
      </c>
      <c r="I729" s="108">
        <f t="shared" si="75"/>
        <v>0</v>
      </c>
      <c r="J729" s="110">
        <f t="shared" si="76"/>
        <v>-1</v>
      </c>
      <c r="K729" s="111" t="e">
        <f>I729/I737</f>
        <v>#DIV/0!</v>
      </c>
    </row>
    <row r="730" spans="1:11" ht="9.75">
      <c r="A730" s="9" t="s">
        <v>40</v>
      </c>
      <c r="B730" s="107">
        <v>2490310</v>
      </c>
      <c r="C730" s="108"/>
      <c r="D730" s="110">
        <f>(C730-B730)/B730</f>
        <v>-1</v>
      </c>
      <c r="E730" s="108">
        <f>'2019 Certified Estimate'!E748</f>
        <v>19621050</v>
      </c>
      <c r="F730" s="108"/>
      <c r="G730" s="110">
        <f t="shared" si="73"/>
        <v>-1</v>
      </c>
      <c r="H730" s="107">
        <f t="shared" si="74"/>
        <v>22111360</v>
      </c>
      <c r="I730" s="108">
        <f t="shared" si="75"/>
        <v>0</v>
      </c>
      <c r="J730" s="110">
        <f t="shared" si="76"/>
        <v>-1</v>
      </c>
      <c r="K730" s="111" t="e">
        <f>I730/I737</f>
        <v>#DIV/0!</v>
      </c>
    </row>
    <row r="731" spans="1:11" ht="9.75">
      <c r="A731" s="9" t="s">
        <v>41</v>
      </c>
      <c r="B731" s="107">
        <v>38779080</v>
      </c>
      <c r="C731" s="109"/>
      <c r="D731" s="110">
        <f>(C731-B731)/B731</f>
        <v>-1</v>
      </c>
      <c r="E731" s="108">
        <f>'2019 Certified Estimate'!E749</f>
        <v>0</v>
      </c>
      <c r="F731" s="108">
        <v>0</v>
      </c>
      <c r="G731" s="110">
        <v>0</v>
      </c>
      <c r="H731" s="107">
        <f t="shared" si="74"/>
        <v>38779080</v>
      </c>
      <c r="I731" s="108">
        <f t="shared" si="75"/>
        <v>0</v>
      </c>
      <c r="J731" s="110">
        <f t="shared" si="76"/>
        <v>-1</v>
      </c>
      <c r="K731" s="111" t="e">
        <f>I731/I737</f>
        <v>#DIV/0!</v>
      </c>
    </row>
    <row r="732" spans="1:11" ht="9.75">
      <c r="A732" s="9" t="s">
        <v>42</v>
      </c>
      <c r="B732" s="107">
        <v>51605600</v>
      </c>
      <c r="C732" s="109"/>
      <c r="D732" s="110">
        <f>(C732-B732)/B732</f>
        <v>-1</v>
      </c>
      <c r="E732" s="108">
        <f>'2019 Certified Estimate'!E750</f>
        <v>533030</v>
      </c>
      <c r="F732" s="108"/>
      <c r="G732" s="110">
        <f t="shared" si="73"/>
        <v>-1</v>
      </c>
      <c r="H732" s="107">
        <f t="shared" si="74"/>
        <v>52138630</v>
      </c>
      <c r="I732" s="108">
        <f t="shared" si="75"/>
        <v>0</v>
      </c>
      <c r="J732" s="110">
        <f t="shared" si="76"/>
        <v>-1</v>
      </c>
      <c r="K732" s="111" t="e">
        <f>I732/I737</f>
        <v>#DIV/0!</v>
      </c>
    </row>
    <row r="733" spans="1:11" ht="9.75">
      <c r="A733" s="9" t="s">
        <v>43</v>
      </c>
      <c r="B733" s="107">
        <v>180243900</v>
      </c>
      <c r="C733" s="109"/>
      <c r="D733" s="110">
        <f>(C733-B733)/B733</f>
        <v>-1</v>
      </c>
      <c r="E733" s="108">
        <f>'2019 Certified Estimate'!E751</f>
        <v>7647890</v>
      </c>
      <c r="F733" s="108"/>
      <c r="G733" s="110">
        <f t="shared" si="73"/>
        <v>-1</v>
      </c>
      <c r="H733" s="107">
        <f t="shared" si="74"/>
        <v>187891790</v>
      </c>
      <c r="I733" s="108">
        <f t="shared" si="75"/>
        <v>0</v>
      </c>
      <c r="J733" s="110">
        <f t="shared" si="76"/>
        <v>-1</v>
      </c>
      <c r="K733" s="111" t="e">
        <f>I733/I737</f>
        <v>#DIV/0!</v>
      </c>
    </row>
    <row r="734" spans="1:11" ht="9.75">
      <c r="A734" s="9" t="s">
        <v>44</v>
      </c>
      <c r="B734" s="107">
        <v>0</v>
      </c>
      <c r="C734" s="108"/>
      <c r="D734" s="110"/>
      <c r="E734" s="108">
        <f>'2019 Certified Estimate'!E752</f>
        <v>6056060</v>
      </c>
      <c r="F734" s="108"/>
      <c r="G734" s="110">
        <f t="shared" si="73"/>
        <v>-1</v>
      </c>
      <c r="H734" s="107">
        <f t="shared" si="74"/>
        <v>6056060</v>
      </c>
      <c r="I734" s="108">
        <f t="shared" si="75"/>
        <v>0</v>
      </c>
      <c r="J734" s="110">
        <f t="shared" si="76"/>
        <v>-1</v>
      </c>
      <c r="K734" s="111" t="e">
        <f>I734/I737</f>
        <v>#DIV/0!</v>
      </c>
    </row>
    <row r="735" spans="1:11" ht="9.75">
      <c r="A735" s="9" t="s">
        <v>45</v>
      </c>
      <c r="B735" s="107">
        <v>0</v>
      </c>
      <c r="C735" s="108"/>
      <c r="D735" s="110"/>
      <c r="E735" s="108">
        <f>'2019 Certified Estimate'!E753</f>
        <v>0</v>
      </c>
      <c r="F735" s="108">
        <v>0</v>
      </c>
      <c r="G735" s="110">
        <v>0</v>
      </c>
      <c r="H735" s="107">
        <f t="shared" si="74"/>
        <v>0</v>
      </c>
      <c r="I735" s="108">
        <f t="shared" si="75"/>
        <v>0</v>
      </c>
      <c r="J735" s="110">
        <v>0</v>
      </c>
      <c r="K735" s="111" t="e">
        <f>I735/I737</f>
        <v>#DIV/0!</v>
      </c>
    </row>
    <row r="736" spans="1:11" ht="10.5" thickBot="1">
      <c r="A736" s="9" t="s">
        <v>64</v>
      </c>
      <c r="B736" s="107">
        <v>0</v>
      </c>
      <c r="C736" s="108">
        <v>0</v>
      </c>
      <c r="D736" s="110"/>
      <c r="E736" s="108">
        <f>'2019 Certified Estimate'!E754</f>
        <v>14381800</v>
      </c>
      <c r="F736" s="108"/>
      <c r="G736" s="110">
        <f t="shared" si="73"/>
        <v>-1</v>
      </c>
      <c r="H736" s="107">
        <f t="shared" si="74"/>
        <v>14381800</v>
      </c>
      <c r="I736" s="108">
        <f t="shared" si="75"/>
        <v>0</v>
      </c>
      <c r="J736" s="110">
        <f t="shared" si="76"/>
        <v>-1</v>
      </c>
      <c r="K736" s="111" t="e">
        <f>I736/I737</f>
        <v>#DIV/0!</v>
      </c>
    </row>
    <row r="737" spans="1:11" ht="10.5" thickBot="1">
      <c r="A737" s="250" t="s">
        <v>47</v>
      </c>
      <c r="B737" s="259">
        <f>SUM(B726:B736)</f>
        <v>273118890</v>
      </c>
      <c r="C737" s="260">
        <f>SUM(C726:C736)</f>
        <v>0</v>
      </c>
      <c r="D737" s="256">
        <f>(C737-B737)/B737</f>
        <v>-1</v>
      </c>
      <c r="E737" s="259">
        <f>SUM(E726:E736)</f>
        <v>324497060</v>
      </c>
      <c r="F737" s="260">
        <f>SUM(F726:F736)</f>
        <v>0</v>
      </c>
      <c r="G737" s="256">
        <f t="shared" si="73"/>
        <v>-1</v>
      </c>
      <c r="H737" s="263">
        <f>SUM(H726:H736)</f>
        <v>597615950</v>
      </c>
      <c r="I737" s="255">
        <f>SUM(I726:I736)</f>
        <v>0</v>
      </c>
      <c r="J737" s="256">
        <f t="shared" si="76"/>
        <v>-1</v>
      </c>
      <c r="K737" s="261" t="e">
        <f>SUM(K726:K736)</f>
        <v>#DIV/0!</v>
      </c>
    </row>
    <row r="738" spans="1:11" ht="9.75">
      <c r="A738" s="121" t="str">
        <f>A130</f>
        <v>Less Minimum Value Loss</v>
      </c>
      <c r="B738" s="104"/>
      <c r="C738" s="108"/>
      <c r="D738" s="104"/>
      <c r="E738" s="104"/>
      <c r="F738" s="108"/>
      <c r="G738" s="104"/>
      <c r="H738" s="108">
        <f>'2019 Certified Estimate'!H756</f>
        <v>0</v>
      </c>
      <c r="I738" s="109">
        <v>0</v>
      </c>
      <c r="J738" s="110">
        <v>0</v>
      </c>
      <c r="K738" s="104"/>
    </row>
    <row r="739" spans="1:10" ht="9.75">
      <c r="A739" s="113" t="s">
        <v>174</v>
      </c>
      <c r="H739" s="108">
        <f>'2019 Certified Estimate'!H757</f>
        <v>-477750</v>
      </c>
      <c r="I739" s="118"/>
      <c r="J739" s="110">
        <f t="shared" si="76"/>
        <v>-1</v>
      </c>
    </row>
    <row r="740" spans="1:10" ht="10.5" thickBot="1">
      <c r="A740" s="113" t="s">
        <v>49</v>
      </c>
      <c r="H740" s="108">
        <f>'2019 Certified Estimate'!H758</f>
        <v>-69184130</v>
      </c>
      <c r="I740" s="118"/>
      <c r="J740" s="110">
        <f t="shared" si="76"/>
        <v>-1</v>
      </c>
    </row>
    <row r="741" spans="1:10" ht="10.5" thickBot="1">
      <c r="A741" s="250" t="s">
        <v>50</v>
      </c>
      <c r="B741" s="253"/>
      <c r="C741" s="260"/>
      <c r="D741" s="253"/>
      <c r="E741" s="253"/>
      <c r="F741" s="260"/>
      <c r="G741" s="253"/>
      <c r="H741" s="254">
        <f>SUM(H737:H740)</f>
        <v>527954070</v>
      </c>
      <c r="I741" s="255">
        <f>SUM(I737:I740)</f>
        <v>0</v>
      </c>
      <c r="J741" s="256">
        <f t="shared" si="76"/>
        <v>-1</v>
      </c>
    </row>
    <row r="742" spans="1:10" ht="9.75">
      <c r="A742" s="113" t="s">
        <v>127</v>
      </c>
      <c r="H742" s="108">
        <f>'2019 Certified Estimate'!H760</f>
        <v>-387550</v>
      </c>
      <c r="I742" s="120"/>
      <c r="J742" s="110">
        <f t="shared" si="76"/>
        <v>-1</v>
      </c>
    </row>
    <row r="743" spans="1:10" ht="9.75">
      <c r="A743" s="113" t="s">
        <v>78</v>
      </c>
      <c r="H743" s="108">
        <f>'2019 Certified Estimate'!H761</f>
        <v>-137350</v>
      </c>
      <c r="I743" s="120"/>
      <c r="J743" s="110">
        <f t="shared" si="76"/>
        <v>-1</v>
      </c>
    </row>
    <row r="744" spans="1:10" ht="9.75">
      <c r="A744" s="113" t="s">
        <v>128</v>
      </c>
      <c r="H744" s="108">
        <f>'2019 Certified Estimate'!H762</f>
        <v>0</v>
      </c>
      <c r="I744" s="120">
        <v>0</v>
      </c>
      <c r="J744" s="110">
        <v>0</v>
      </c>
    </row>
    <row r="745" spans="1:10" ht="9.75">
      <c r="A745" s="113" t="s">
        <v>157</v>
      </c>
      <c r="H745" s="108">
        <f>'2019 Certified Estimate'!H763</f>
        <v>-14656520</v>
      </c>
      <c r="I745" s="118"/>
      <c r="J745" s="110">
        <f t="shared" si="76"/>
        <v>-1</v>
      </c>
    </row>
    <row r="746" spans="1:10" ht="9.75">
      <c r="A746" s="113" t="s">
        <v>53</v>
      </c>
      <c r="H746" s="108">
        <f>'2019 Certified Estimate'!H764</f>
        <v>0</v>
      </c>
      <c r="I746" s="118">
        <v>0</v>
      </c>
      <c r="J746" s="110">
        <v>0</v>
      </c>
    </row>
    <row r="747" spans="1:10" ht="9.75">
      <c r="A747" s="113" t="s">
        <v>54</v>
      </c>
      <c r="H747" s="108">
        <f>'2019 Certified Estimate'!H765</f>
        <v>0</v>
      </c>
      <c r="I747" s="118">
        <v>0</v>
      </c>
      <c r="J747" s="110">
        <v>0</v>
      </c>
    </row>
    <row r="748" spans="1:10" ht="9.75">
      <c r="A748" s="113" t="s">
        <v>55</v>
      </c>
      <c r="H748" s="108">
        <f>'2019 Certified Estimate'!H766</f>
        <v>0</v>
      </c>
      <c r="I748" s="118">
        <v>0</v>
      </c>
      <c r="J748" s="110">
        <v>0</v>
      </c>
    </row>
    <row r="749" spans="1:10" ht="9.75">
      <c r="A749" s="113" t="s">
        <v>56</v>
      </c>
      <c r="H749" s="108">
        <f>'2019 Certified Estimate'!H767</f>
        <v>-2825790</v>
      </c>
      <c r="I749" s="118"/>
      <c r="J749" s="110">
        <f t="shared" si="76"/>
        <v>-1</v>
      </c>
    </row>
    <row r="750" spans="1:10" ht="9.75">
      <c r="A750" s="113" t="s">
        <v>57</v>
      </c>
      <c r="H750" s="108">
        <f>'2019 Certified Estimate'!H768</f>
        <v>-22974794</v>
      </c>
      <c r="I750" s="120"/>
      <c r="J750" s="110">
        <f t="shared" si="76"/>
        <v>-1</v>
      </c>
    </row>
    <row r="751" spans="1:10" ht="9.75">
      <c r="A751" s="113" t="s">
        <v>58</v>
      </c>
      <c r="H751" s="108">
        <f>'2019 Certified Estimate'!H769</f>
        <v>-3554780</v>
      </c>
      <c r="I751" s="120"/>
      <c r="J751" s="110">
        <f t="shared" si="76"/>
        <v>-1</v>
      </c>
    </row>
    <row r="752" spans="1:10" ht="10.5" thickBot="1">
      <c r="A752" s="113" t="s">
        <v>59</v>
      </c>
      <c r="H752" s="108">
        <f>'2019 Certified Estimate'!H770</f>
        <v>0</v>
      </c>
      <c r="I752" s="120">
        <v>0</v>
      </c>
      <c r="J752" s="110">
        <v>0</v>
      </c>
    </row>
    <row r="753" spans="1:10" ht="10.5" thickBot="1">
      <c r="A753" s="250" t="s">
        <v>60</v>
      </c>
      <c r="B753" s="253"/>
      <c r="C753" s="260"/>
      <c r="D753" s="253"/>
      <c r="E753" s="253"/>
      <c r="F753" s="260"/>
      <c r="G753" s="253"/>
      <c r="H753" s="254">
        <f>SUM(H741:H752)</f>
        <v>483417286</v>
      </c>
      <c r="I753" s="255">
        <f>SUM(I741:I752)</f>
        <v>0</v>
      </c>
      <c r="J753" s="256">
        <f t="shared" si="76"/>
        <v>-1</v>
      </c>
    </row>
    <row r="754" spans="1:11" ht="10.5">
      <c r="A754" s="121" t="str">
        <f>A716</f>
        <v>2019 Adopted/2019 Revenue Neutral Tax Rate</v>
      </c>
      <c r="E754" s="408">
        <v>0.092888</v>
      </c>
      <c r="F754" s="139"/>
      <c r="G754" s="123"/>
      <c r="H754" s="124"/>
      <c r="I754" s="125"/>
      <c r="J754" s="117"/>
      <c r="K754" s="146"/>
    </row>
    <row r="755" spans="1:11" ht="10.5">
      <c r="A755" s="146"/>
      <c r="B755" s="104"/>
      <c r="C755" s="108"/>
      <c r="D755" s="104"/>
      <c r="E755" s="104"/>
      <c r="F755" s="108"/>
      <c r="G755" s="104"/>
      <c r="H755" s="124"/>
      <c r="I755" s="125"/>
      <c r="J755" s="146"/>
      <c r="K755" s="146"/>
    </row>
    <row r="756" spans="1:10" ht="10.5">
      <c r="A756" s="146"/>
      <c r="G756" s="123"/>
      <c r="H756" s="146"/>
      <c r="I756" s="108"/>
      <c r="J756" s="146"/>
    </row>
    <row r="757" spans="1:10" ht="9.75">
      <c r="A757" s="121" t="s">
        <v>62</v>
      </c>
      <c r="H757" s="131">
        <f>(H753*E754)/100</f>
        <v>449036.64861967997</v>
      </c>
      <c r="I757" s="131">
        <f>(I753*F754)/100</f>
        <v>0</v>
      </c>
      <c r="J757" s="126">
        <f>(I757-H757)/H757</f>
        <v>-1</v>
      </c>
    </row>
    <row r="758" spans="1:10" ht="9.75">
      <c r="A758" s="121" t="s">
        <v>18</v>
      </c>
      <c r="H758" s="108">
        <f>'2019 Certified Estimate'!H776</f>
        <v>2720738</v>
      </c>
      <c r="I758" s="118"/>
      <c r="J758" s="126">
        <f>(I758-H758)/H758</f>
        <v>-1</v>
      </c>
    </row>
    <row r="759" spans="1:10" ht="9.75">
      <c r="A759" s="121" t="s">
        <v>17</v>
      </c>
      <c r="H759" s="108">
        <f>'2019 Certified Estimate'!H777</f>
        <v>29099</v>
      </c>
      <c r="I759" s="118"/>
      <c r="J759" s="126">
        <f>(I759-H759)/H759</f>
        <v>-1</v>
      </c>
    </row>
    <row r="760" spans="1:11" ht="10.5" thickBot="1">
      <c r="A760" s="220"/>
      <c r="B760" s="220"/>
      <c r="C760" s="373"/>
      <c r="D760" s="220"/>
      <c r="E760" s="220"/>
      <c r="F760" s="373"/>
      <c r="G760" s="220"/>
      <c r="H760" s="220"/>
      <c r="I760" s="373"/>
      <c r="J760" s="220"/>
      <c r="K760" s="221"/>
    </row>
    <row r="761" spans="1:11" ht="10.5" thickBot="1">
      <c r="A761" s="369" t="s">
        <v>168</v>
      </c>
      <c r="B761" s="95" t="s">
        <v>32</v>
      </c>
      <c r="C761" s="372"/>
      <c r="D761" s="97"/>
      <c r="E761" s="95" t="s">
        <v>33</v>
      </c>
      <c r="F761" s="372"/>
      <c r="G761" s="97"/>
      <c r="H761" s="95" t="s">
        <v>34</v>
      </c>
      <c r="I761" s="372"/>
      <c r="J761" s="97"/>
      <c r="K761" s="99"/>
    </row>
    <row r="762" spans="1:11" ht="10.5" thickBot="1">
      <c r="A762" s="9" t="s">
        <v>35</v>
      </c>
      <c r="B762" s="285" t="s">
        <v>200</v>
      </c>
      <c r="C762" s="308" t="s">
        <v>202</v>
      </c>
      <c r="D762" s="100" t="s">
        <v>67</v>
      </c>
      <c r="E762" s="285" t="str">
        <f>B762</f>
        <v>2018 Certified</v>
      </c>
      <c r="F762" s="308" t="s">
        <v>202</v>
      </c>
      <c r="G762" s="100" t="s">
        <v>67</v>
      </c>
      <c r="H762" s="101" t="str">
        <f>B762</f>
        <v>2018 Certified</v>
      </c>
      <c r="I762" s="384" t="s">
        <v>204</v>
      </c>
      <c r="J762" s="100" t="s">
        <v>67</v>
      </c>
      <c r="K762" s="366" t="s">
        <v>71</v>
      </c>
    </row>
    <row r="763" spans="1:11" ht="9.75">
      <c r="A763" s="93"/>
      <c r="B763" s="103"/>
      <c r="C763" s="108"/>
      <c r="D763" s="105"/>
      <c r="E763" s="103"/>
      <c r="F763" s="108"/>
      <c r="G763" s="105"/>
      <c r="H763" s="103"/>
      <c r="I763" s="108"/>
      <c r="J763" s="105"/>
      <c r="K763" s="106"/>
    </row>
    <row r="764" spans="1:11" ht="9.75">
      <c r="A764" s="9" t="s">
        <v>36</v>
      </c>
      <c r="B764" s="107">
        <v>0</v>
      </c>
      <c r="C764" s="108">
        <v>0</v>
      </c>
      <c r="D764" s="105"/>
      <c r="E764" s="108">
        <f>'2019 Certified Estimate'!E783</f>
        <v>14931060</v>
      </c>
      <c r="F764" s="108"/>
      <c r="G764" s="110">
        <f aca="true" t="shared" si="77" ref="G764:G775">(F764-E764)/E764</f>
        <v>-1</v>
      </c>
      <c r="H764" s="107">
        <f aca="true" t="shared" si="78" ref="H764:H774">B764+E764</f>
        <v>14931060</v>
      </c>
      <c r="I764" s="108">
        <f aca="true" t="shared" si="79" ref="I764:I774">C764+F764</f>
        <v>0</v>
      </c>
      <c r="J764" s="110">
        <f aca="true" t="shared" si="80" ref="J764:J791">(I764-H764)/H764</f>
        <v>-1</v>
      </c>
      <c r="K764" s="111" t="e">
        <f>I764/I775</f>
        <v>#DIV/0!</v>
      </c>
    </row>
    <row r="765" spans="1:11" ht="9.75">
      <c r="A765" s="9" t="s">
        <v>37</v>
      </c>
      <c r="B765" s="107">
        <v>0</v>
      </c>
      <c r="C765" s="108">
        <v>0</v>
      </c>
      <c r="D765" s="105"/>
      <c r="E765" s="108">
        <f>'2019 Certified Estimate'!E784</f>
        <v>0</v>
      </c>
      <c r="F765" s="108">
        <v>0</v>
      </c>
      <c r="G765" s="110">
        <v>0</v>
      </c>
      <c r="H765" s="107">
        <f t="shared" si="78"/>
        <v>0</v>
      </c>
      <c r="I765" s="108">
        <f t="shared" si="79"/>
        <v>0</v>
      </c>
      <c r="J765" s="110">
        <v>0</v>
      </c>
      <c r="K765" s="111" t="e">
        <f>I765/I775</f>
        <v>#DIV/0!</v>
      </c>
    </row>
    <row r="766" spans="1:11" ht="9.75">
      <c r="A766" s="9" t="s">
        <v>38</v>
      </c>
      <c r="B766" s="107">
        <v>0</v>
      </c>
      <c r="C766" s="108">
        <v>0</v>
      </c>
      <c r="D766" s="105"/>
      <c r="E766" s="108">
        <f>'2019 Certified Estimate'!E785</f>
        <v>2482740</v>
      </c>
      <c r="F766" s="108"/>
      <c r="G766" s="110">
        <f t="shared" si="77"/>
        <v>-1</v>
      </c>
      <c r="H766" s="107">
        <f t="shared" si="78"/>
        <v>2482740</v>
      </c>
      <c r="I766" s="108">
        <f t="shared" si="79"/>
        <v>0</v>
      </c>
      <c r="J766" s="110">
        <f t="shared" si="80"/>
        <v>-1</v>
      </c>
      <c r="K766" s="111" t="e">
        <f>I766/I775</f>
        <v>#DIV/0!</v>
      </c>
    </row>
    <row r="767" spans="1:11" ht="9.75">
      <c r="A767" s="9" t="s">
        <v>39</v>
      </c>
      <c r="B767" s="107">
        <v>0</v>
      </c>
      <c r="C767" s="108">
        <v>0</v>
      </c>
      <c r="D767" s="105"/>
      <c r="E767" s="108">
        <f>'2019 Certified Estimate'!E786</f>
        <v>248216030</v>
      </c>
      <c r="F767" s="108"/>
      <c r="G767" s="110">
        <f t="shared" si="77"/>
        <v>-1</v>
      </c>
      <c r="H767" s="107">
        <f t="shared" si="78"/>
        <v>248216030</v>
      </c>
      <c r="I767" s="108">
        <f t="shared" si="79"/>
        <v>0</v>
      </c>
      <c r="J767" s="110">
        <f t="shared" si="80"/>
        <v>-1</v>
      </c>
      <c r="K767" s="111" t="e">
        <f>I767/I775</f>
        <v>#DIV/0!</v>
      </c>
    </row>
    <row r="768" spans="1:11" ht="9.75">
      <c r="A768" s="9" t="s">
        <v>40</v>
      </c>
      <c r="B768" s="107">
        <v>149060</v>
      </c>
      <c r="C768" s="108"/>
      <c r="D768" s="110">
        <f>(C768-B768)/B768</f>
        <v>-1</v>
      </c>
      <c r="E768" s="108">
        <f>'2019 Certified Estimate'!E787</f>
        <v>3156880</v>
      </c>
      <c r="F768" s="108"/>
      <c r="G768" s="110">
        <f t="shared" si="77"/>
        <v>-1</v>
      </c>
      <c r="H768" s="107">
        <f t="shared" si="78"/>
        <v>3305940</v>
      </c>
      <c r="I768" s="108">
        <f t="shared" si="79"/>
        <v>0</v>
      </c>
      <c r="J768" s="110">
        <f t="shared" si="80"/>
        <v>-1</v>
      </c>
      <c r="K768" s="111" t="e">
        <f>I768/I775</f>
        <v>#DIV/0!</v>
      </c>
    </row>
    <row r="769" spans="1:11" ht="9.75">
      <c r="A769" s="9" t="s">
        <v>41</v>
      </c>
      <c r="B769" s="152">
        <v>10092400</v>
      </c>
      <c r="C769" s="108"/>
      <c r="D769" s="110">
        <f>(C769-B769)/B769</f>
        <v>-1</v>
      </c>
      <c r="E769" s="108">
        <f>'2019 Certified Estimate'!E788</f>
        <v>0</v>
      </c>
      <c r="F769" s="108">
        <v>0</v>
      </c>
      <c r="G769" s="110">
        <v>0</v>
      </c>
      <c r="H769" s="107">
        <f t="shared" si="78"/>
        <v>10092400</v>
      </c>
      <c r="I769" s="108">
        <f t="shared" si="79"/>
        <v>0</v>
      </c>
      <c r="J769" s="110">
        <f t="shared" si="80"/>
        <v>-1</v>
      </c>
      <c r="K769" s="111" t="e">
        <f>I769/I775</f>
        <v>#DIV/0!</v>
      </c>
    </row>
    <row r="770" spans="1:11" ht="9.75">
      <c r="A770" s="9" t="s">
        <v>42</v>
      </c>
      <c r="B770" s="152">
        <v>20480110</v>
      </c>
      <c r="C770" s="108"/>
      <c r="D770" s="110">
        <f>(C770-B770)/B770</f>
        <v>-1</v>
      </c>
      <c r="E770" s="108">
        <f>'2019 Certified Estimate'!E789</f>
        <v>53520</v>
      </c>
      <c r="F770" s="108"/>
      <c r="G770" s="110">
        <f t="shared" si="77"/>
        <v>-1</v>
      </c>
      <c r="H770" s="107">
        <f t="shared" si="78"/>
        <v>20533630</v>
      </c>
      <c r="I770" s="108">
        <f t="shared" si="79"/>
        <v>0</v>
      </c>
      <c r="J770" s="110">
        <f t="shared" si="80"/>
        <v>-1</v>
      </c>
      <c r="K770" s="111" t="e">
        <f>I770/I775</f>
        <v>#DIV/0!</v>
      </c>
    </row>
    <row r="771" spans="1:11" ht="9.75">
      <c r="A771" s="9" t="s">
        <v>43</v>
      </c>
      <c r="B771" s="152">
        <v>1730270</v>
      </c>
      <c r="C771" s="108"/>
      <c r="D771" s="110">
        <f>(C771-B771)/B771</f>
        <v>-1</v>
      </c>
      <c r="E771" s="108">
        <f>'2019 Certified Estimate'!E790</f>
        <v>3072800</v>
      </c>
      <c r="F771" s="108"/>
      <c r="G771" s="110">
        <f t="shared" si="77"/>
        <v>-1</v>
      </c>
      <c r="H771" s="107">
        <f t="shared" si="78"/>
        <v>4803070</v>
      </c>
      <c r="I771" s="108">
        <f t="shared" si="79"/>
        <v>0</v>
      </c>
      <c r="J771" s="110">
        <f t="shared" si="80"/>
        <v>-1</v>
      </c>
      <c r="K771" s="111" t="e">
        <f>I771/I775</f>
        <v>#DIV/0!</v>
      </c>
    </row>
    <row r="772" spans="1:11" ht="9.75">
      <c r="A772" s="9" t="s">
        <v>44</v>
      </c>
      <c r="B772" s="107">
        <v>0</v>
      </c>
      <c r="C772" s="108">
        <v>0</v>
      </c>
      <c r="D772" s="110"/>
      <c r="E772" s="108">
        <f>'2019 Certified Estimate'!E791</f>
        <v>5086110</v>
      </c>
      <c r="F772" s="108"/>
      <c r="G772" s="110">
        <f t="shared" si="77"/>
        <v>-1</v>
      </c>
      <c r="H772" s="107">
        <f t="shared" si="78"/>
        <v>5086110</v>
      </c>
      <c r="I772" s="108">
        <f t="shared" si="79"/>
        <v>0</v>
      </c>
      <c r="J772" s="110">
        <f t="shared" si="80"/>
        <v>-1</v>
      </c>
      <c r="K772" s="111" t="e">
        <f>I772/I775</f>
        <v>#DIV/0!</v>
      </c>
    </row>
    <row r="773" spans="1:11" ht="9.75">
      <c r="A773" s="9" t="s">
        <v>45</v>
      </c>
      <c r="B773" s="107">
        <v>0</v>
      </c>
      <c r="C773" s="108">
        <v>0</v>
      </c>
      <c r="D773" s="110"/>
      <c r="E773" s="108">
        <f>'2019 Certified Estimate'!E792</f>
        <v>55760</v>
      </c>
      <c r="F773" s="108"/>
      <c r="G773" s="110">
        <v>0</v>
      </c>
      <c r="H773" s="107">
        <f t="shared" si="78"/>
        <v>55760</v>
      </c>
      <c r="I773" s="108">
        <f t="shared" si="79"/>
        <v>0</v>
      </c>
      <c r="J773" s="110">
        <v>0</v>
      </c>
      <c r="K773" s="111" t="e">
        <f>I773/I775</f>
        <v>#DIV/0!</v>
      </c>
    </row>
    <row r="774" spans="1:11" ht="10.5" thickBot="1">
      <c r="A774" s="9" t="s">
        <v>64</v>
      </c>
      <c r="B774" s="276">
        <v>0</v>
      </c>
      <c r="C774" s="277">
        <v>0</v>
      </c>
      <c r="D774" s="278"/>
      <c r="E774" s="108">
        <f>'2019 Certified Estimate'!E793</f>
        <v>10335050</v>
      </c>
      <c r="F774" s="108"/>
      <c r="G774" s="110">
        <f t="shared" si="77"/>
        <v>-1</v>
      </c>
      <c r="H774" s="107">
        <f t="shared" si="78"/>
        <v>10335050</v>
      </c>
      <c r="I774" s="108">
        <f t="shared" si="79"/>
        <v>0</v>
      </c>
      <c r="J774" s="110">
        <f t="shared" si="80"/>
        <v>-1</v>
      </c>
      <c r="K774" s="111" t="e">
        <f>I774/I775</f>
        <v>#DIV/0!</v>
      </c>
    </row>
    <row r="775" spans="1:11" ht="10.5" thickBot="1">
      <c r="A775" s="250" t="s">
        <v>47</v>
      </c>
      <c r="B775" s="259">
        <f>SUM(B764:B774)</f>
        <v>32451840</v>
      </c>
      <c r="C775" s="260">
        <f>SUM(C764:C774)</f>
        <v>0</v>
      </c>
      <c r="D775" s="256">
        <f>(C775-B775)/B775</f>
        <v>-1</v>
      </c>
      <c r="E775" s="259">
        <f>SUM(E764:E774)</f>
        <v>287389950</v>
      </c>
      <c r="F775" s="260">
        <f>SUM(F764:F774)</f>
        <v>0</v>
      </c>
      <c r="G775" s="256">
        <f t="shared" si="77"/>
        <v>-1</v>
      </c>
      <c r="H775" s="263">
        <f>SUM(H764:H774)</f>
        <v>319841790</v>
      </c>
      <c r="I775" s="255">
        <f>SUM(I764:I774)</f>
        <v>0</v>
      </c>
      <c r="J775" s="256">
        <f t="shared" si="80"/>
        <v>-1</v>
      </c>
      <c r="K775" s="261" t="e">
        <f>SUM(K764:K774)</f>
        <v>#DIV/0!</v>
      </c>
    </row>
    <row r="776" spans="1:10" ht="9.75">
      <c r="A776" s="113" t="str">
        <f>A168</f>
        <v>Less Minimum Value Loss</v>
      </c>
      <c r="H776" s="108">
        <f>'2019 Certified Estimate'!H795</f>
        <v>0</v>
      </c>
      <c r="I776" s="118">
        <v>0</v>
      </c>
      <c r="J776" s="110">
        <v>0</v>
      </c>
    </row>
    <row r="777" spans="1:10" ht="9.75">
      <c r="A777" s="113" t="s">
        <v>174</v>
      </c>
      <c r="H777" s="108">
        <f>'2019 Certified Estimate'!H796</f>
        <v>-904210</v>
      </c>
      <c r="I777" s="118"/>
      <c r="J777" s="110">
        <f t="shared" si="80"/>
        <v>-1</v>
      </c>
    </row>
    <row r="778" spans="1:10" ht="10.5" thickBot="1">
      <c r="A778" s="113" t="s">
        <v>49</v>
      </c>
      <c r="H778" s="108">
        <f>'2019 Certified Estimate'!H797</f>
        <v>-92079810</v>
      </c>
      <c r="I778" s="118"/>
      <c r="J778" s="110">
        <f t="shared" si="80"/>
        <v>-1</v>
      </c>
    </row>
    <row r="779" spans="1:10" ht="10.5" thickBot="1">
      <c r="A779" s="250" t="s">
        <v>50</v>
      </c>
      <c r="B779" s="253"/>
      <c r="C779" s="260"/>
      <c r="D779" s="253"/>
      <c r="E779" s="253"/>
      <c r="F779" s="260"/>
      <c r="G779" s="253"/>
      <c r="H779" s="254">
        <f>SUM(H775:H778)</f>
        <v>226857770</v>
      </c>
      <c r="I779" s="255">
        <f>SUM(I775:I778)</f>
        <v>0</v>
      </c>
      <c r="J779" s="256">
        <f t="shared" si="80"/>
        <v>-1</v>
      </c>
    </row>
    <row r="780" spans="1:10" ht="9.75">
      <c r="A780" s="113" t="s">
        <v>127</v>
      </c>
      <c r="H780" s="108">
        <f>'2019 Certified Estimate'!H799</f>
        <v>-187892</v>
      </c>
      <c r="I780" s="120"/>
      <c r="J780" s="110">
        <f t="shared" si="80"/>
        <v>-1</v>
      </c>
    </row>
    <row r="781" spans="1:10" ht="9.75">
      <c r="A781" s="113" t="s">
        <v>78</v>
      </c>
      <c r="H781" s="108">
        <f>'2019 Certified Estimate'!H800</f>
        <v>0</v>
      </c>
      <c r="I781" s="120">
        <v>0</v>
      </c>
      <c r="J781" s="110">
        <v>0</v>
      </c>
    </row>
    <row r="782" spans="1:10" ht="9.75">
      <c r="A782" s="113" t="s">
        <v>128</v>
      </c>
      <c r="H782" s="108">
        <f>'2019 Certified Estimate'!H801</f>
        <v>0</v>
      </c>
      <c r="I782" s="120">
        <v>0</v>
      </c>
      <c r="J782" s="110">
        <v>0</v>
      </c>
    </row>
    <row r="783" spans="1:10" ht="9.75">
      <c r="A783" s="113" t="s">
        <v>157</v>
      </c>
      <c r="H783" s="108">
        <f>'2019 Certified Estimate'!H802</f>
        <v>-10326830</v>
      </c>
      <c r="I783" s="118"/>
      <c r="J783" s="110">
        <f t="shared" si="80"/>
        <v>-1</v>
      </c>
    </row>
    <row r="784" spans="1:10" ht="9.75">
      <c r="A784" s="113" t="s">
        <v>53</v>
      </c>
      <c r="H784" s="108">
        <f>'2019 Certified Estimate'!H803</f>
        <v>0</v>
      </c>
      <c r="I784" s="118">
        <v>0</v>
      </c>
      <c r="J784" s="110">
        <v>0</v>
      </c>
    </row>
    <row r="785" spans="1:10" ht="9.75">
      <c r="A785" s="113" t="s">
        <v>54</v>
      </c>
      <c r="H785" s="108">
        <f>'2019 Certified Estimate'!H804</f>
        <v>0</v>
      </c>
      <c r="I785" s="118">
        <v>0</v>
      </c>
      <c r="J785" s="110">
        <v>0</v>
      </c>
    </row>
    <row r="786" spans="1:10" ht="9.75">
      <c r="A786" s="113" t="s">
        <v>55</v>
      </c>
      <c r="H786" s="108">
        <f>'2019 Certified Estimate'!H805</f>
        <v>0</v>
      </c>
      <c r="I786" s="118">
        <v>0</v>
      </c>
      <c r="J786" s="110">
        <v>0</v>
      </c>
    </row>
    <row r="787" spans="1:10" ht="9.75">
      <c r="A787" s="113" t="s">
        <v>56</v>
      </c>
      <c r="H787" s="108">
        <f>'2019 Certified Estimate'!H806</f>
        <v>-1888150</v>
      </c>
      <c r="I787" s="118"/>
      <c r="J787" s="110">
        <f t="shared" si="80"/>
        <v>-1</v>
      </c>
    </row>
    <row r="788" spans="1:10" ht="9.75">
      <c r="A788" s="113" t="s">
        <v>57</v>
      </c>
      <c r="H788" s="108">
        <f>'2019 Certified Estimate'!H807</f>
        <v>-22066591</v>
      </c>
      <c r="I788" s="120"/>
      <c r="J788" s="110">
        <f t="shared" si="80"/>
        <v>-1</v>
      </c>
    </row>
    <row r="789" spans="1:10" ht="9.75">
      <c r="A789" s="113" t="s">
        <v>58</v>
      </c>
      <c r="H789" s="108">
        <f>'2019 Certified Estimate'!H808</f>
        <v>-2172832</v>
      </c>
      <c r="I789" s="120"/>
      <c r="J789" s="110">
        <f t="shared" si="80"/>
        <v>-1</v>
      </c>
    </row>
    <row r="790" spans="1:10" ht="10.5" thickBot="1">
      <c r="A790" s="113" t="s">
        <v>59</v>
      </c>
      <c r="H790" s="108">
        <f>'2019 Certified Estimate'!H809</f>
        <v>0</v>
      </c>
      <c r="I790" s="120">
        <v>0</v>
      </c>
      <c r="J790" s="110">
        <v>0</v>
      </c>
    </row>
    <row r="791" spans="1:10" ht="10.5" thickBot="1">
      <c r="A791" s="250" t="s">
        <v>60</v>
      </c>
      <c r="B791" s="253"/>
      <c r="C791" s="260"/>
      <c r="D791" s="253"/>
      <c r="E791" s="253"/>
      <c r="F791" s="260"/>
      <c r="G791" s="253"/>
      <c r="H791" s="254">
        <f>SUM(H779:H790)</f>
        <v>190215475</v>
      </c>
      <c r="I791" s="255">
        <f>SUM(I779:I790)</f>
        <v>0</v>
      </c>
      <c r="J791" s="256">
        <f t="shared" si="80"/>
        <v>-1</v>
      </c>
    </row>
    <row r="792" spans="1:11" ht="10.5">
      <c r="A792" s="121" t="str">
        <f>A754</f>
        <v>2019 Adopted/2019 Revenue Neutral Tax Rate</v>
      </c>
      <c r="E792" s="217">
        <v>0.1</v>
      </c>
      <c r="F792" s="139"/>
      <c r="G792" s="123"/>
      <c r="H792" s="124"/>
      <c r="I792" s="125"/>
      <c r="J792" s="117"/>
      <c r="K792" s="146"/>
    </row>
    <row r="793" spans="1:11" ht="10.5">
      <c r="A793" s="146"/>
      <c r="B793" s="104"/>
      <c r="C793" s="108"/>
      <c r="D793" s="104"/>
      <c r="E793" s="104"/>
      <c r="F793" s="108"/>
      <c r="G793" s="104"/>
      <c r="H793" s="124"/>
      <c r="I793" s="125"/>
      <c r="J793" s="146"/>
      <c r="K793" s="146"/>
    </row>
    <row r="794" spans="1:10" ht="10.5">
      <c r="A794" s="146"/>
      <c r="G794" s="123"/>
      <c r="H794" s="146"/>
      <c r="I794" s="108"/>
      <c r="J794" s="146"/>
    </row>
    <row r="795" spans="1:11" ht="9.75">
      <c r="A795" s="121" t="s">
        <v>62</v>
      </c>
      <c r="H795" s="131">
        <f>(H791*E792)/100</f>
        <v>190215.475</v>
      </c>
      <c r="I795" s="131">
        <f>(I791*F792)/100</f>
        <v>0</v>
      </c>
      <c r="J795" s="126">
        <f>(I795-H795)/H795</f>
        <v>-1</v>
      </c>
      <c r="K795" s="104"/>
    </row>
    <row r="796" spans="1:11" ht="9.75">
      <c r="A796" s="121" t="s">
        <v>18</v>
      </c>
      <c r="H796" s="108">
        <f>'2019 Certified Estimate'!H815</f>
        <v>2733631</v>
      </c>
      <c r="I796" s="118"/>
      <c r="J796" s="126">
        <f>(I796-H796)/H796</f>
        <v>-1</v>
      </c>
      <c r="K796" s="104"/>
    </row>
    <row r="797" spans="1:11" ht="9.75">
      <c r="A797" s="121" t="s">
        <v>17</v>
      </c>
      <c r="H797" s="108">
        <f>'2019 Certified Estimate'!H816</f>
        <v>8388</v>
      </c>
      <c r="I797" s="118"/>
      <c r="J797" s="126">
        <f>(I797-H797)/H797</f>
        <v>-1</v>
      </c>
      <c r="K797" s="104"/>
    </row>
    <row r="798" spans="1:11" ht="10.5" thickBot="1">
      <c r="A798" s="220"/>
      <c r="B798" s="220"/>
      <c r="C798" s="373"/>
      <c r="D798" s="220"/>
      <c r="E798" s="220"/>
      <c r="F798" s="373"/>
      <c r="G798" s="220"/>
      <c r="H798" s="220"/>
      <c r="I798" s="373"/>
      <c r="J798" s="220"/>
      <c r="K798" s="221"/>
    </row>
    <row r="799" spans="1:11" ht="9.75">
      <c r="A799" s="272" t="s">
        <v>184</v>
      </c>
      <c r="B799" s="95" t="s">
        <v>32</v>
      </c>
      <c r="C799" s="372"/>
      <c r="D799" s="97"/>
      <c r="E799" s="95" t="s">
        <v>33</v>
      </c>
      <c r="F799" s="372"/>
      <c r="G799" s="97"/>
      <c r="H799" s="95" t="s">
        <v>34</v>
      </c>
      <c r="I799" s="372"/>
      <c r="J799" s="97"/>
      <c r="K799" s="367"/>
    </row>
    <row r="800" spans="1:11" ht="10.5" thickBot="1">
      <c r="A800" s="9" t="s">
        <v>35</v>
      </c>
      <c r="B800" s="285" t="s">
        <v>200</v>
      </c>
      <c r="C800" s="308" t="s">
        <v>202</v>
      </c>
      <c r="D800" s="100" t="s">
        <v>67</v>
      </c>
      <c r="E800" s="285" t="str">
        <f>B800</f>
        <v>2018 Certified</v>
      </c>
      <c r="F800" s="308" t="s">
        <v>202</v>
      </c>
      <c r="G800" s="100" t="s">
        <v>67</v>
      </c>
      <c r="H800" s="101" t="str">
        <f>B800</f>
        <v>2018 Certified</v>
      </c>
      <c r="I800" s="384" t="s">
        <v>204</v>
      </c>
      <c r="J800" s="100" t="s">
        <v>67</v>
      </c>
      <c r="K800" s="363" t="s">
        <v>71</v>
      </c>
    </row>
    <row r="801" spans="1:11" ht="9.75">
      <c r="A801" s="273"/>
      <c r="B801" s="103"/>
      <c r="C801" s="108"/>
      <c r="D801" s="105"/>
      <c r="E801" s="103"/>
      <c r="F801" s="108"/>
      <c r="G801" s="105"/>
      <c r="H801" s="103"/>
      <c r="I801" s="108"/>
      <c r="J801" s="105"/>
      <c r="K801" s="106"/>
    </row>
    <row r="802" spans="1:11" ht="9.75">
      <c r="A802" s="103" t="s">
        <v>36</v>
      </c>
      <c r="B802" s="107">
        <v>0</v>
      </c>
      <c r="C802" s="108">
        <v>0</v>
      </c>
      <c r="D802" s="105"/>
      <c r="E802" s="112">
        <v>19566610</v>
      </c>
      <c r="G802" s="110">
        <f>(F802-E802)/E802</f>
        <v>-1</v>
      </c>
      <c r="H802" s="108">
        <f>(B802+E802)</f>
        <v>19566610</v>
      </c>
      <c r="I802" s="112">
        <f>C802+F802</f>
        <v>0</v>
      </c>
      <c r="J802" s="110">
        <f aca="true" t="shared" si="81" ref="J802:J813">(I802-H802)/H802</f>
        <v>-1</v>
      </c>
      <c r="K802" s="111" t="e">
        <f>I802/I813</f>
        <v>#DIV/0!</v>
      </c>
    </row>
    <row r="803" spans="1:11" ht="9.75">
      <c r="A803" s="103" t="s">
        <v>37</v>
      </c>
      <c r="B803" s="107">
        <v>0</v>
      </c>
      <c r="C803" s="108">
        <v>0</v>
      </c>
      <c r="D803" s="105"/>
      <c r="E803" s="112">
        <v>0</v>
      </c>
      <c r="G803" s="110">
        <v>0</v>
      </c>
      <c r="H803" s="108">
        <f aca="true" t="shared" si="82" ref="H803:H812">(B803+E803)</f>
        <v>0</v>
      </c>
      <c r="I803" s="112">
        <f aca="true" t="shared" si="83" ref="I803:I812">C803+F803</f>
        <v>0</v>
      </c>
      <c r="J803" s="110">
        <v>0</v>
      </c>
      <c r="K803" s="111" t="e">
        <f>I803/I813</f>
        <v>#DIV/0!</v>
      </c>
    </row>
    <row r="804" spans="1:11" ht="9.75">
      <c r="A804" s="103" t="s">
        <v>38</v>
      </c>
      <c r="B804" s="107">
        <v>0</v>
      </c>
      <c r="C804" s="108">
        <v>0</v>
      </c>
      <c r="D804" s="105"/>
      <c r="E804" s="112">
        <v>816680</v>
      </c>
      <c r="G804" s="110">
        <f aca="true" t="shared" si="84" ref="G804:G813">(F804-E804)/E804</f>
        <v>-1</v>
      </c>
      <c r="H804" s="108">
        <f t="shared" si="82"/>
        <v>816680</v>
      </c>
      <c r="I804" s="112">
        <f t="shared" si="83"/>
        <v>0</v>
      </c>
      <c r="J804" s="110">
        <f t="shared" si="81"/>
        <v>-1</v>
      </c>
      <c r="K804" s="111" t="e">
        <f>I804/I813</f>
        <v>#DIV/0!</v>
      </c>
    </row>
    <row r="805" spans="1:11" ht="9.75">
      <c r="A805" s="103" t="s">
        <v>39</v>
      </c>
      <c r="B805" s="107">
        <v>0</v>
      </c>
      <c r="C805" s="108">
        <v>0</v>
      </c>
      <c r="D805" s="105"/>
      <c r="E805" s="112">
        <v>133965810</v>
      </c>
      <c r="G805" s="110">
        <f t="shared" si="84"/>
        <v>-1</v>
      </c>
      <c r="H805" s="108">
        <f t="shared" si="82"/>
        <v>133965810</v>
      </c>
      <c r="I805" s="112">
        <f t="shared" si="83"/>
        <v>0</v>
      </c>
      <c r="J805" s="110">
        <f t="shared" si="81"/>
        <v>-1</v>
      </c>
      <c r="K805" s="111" t="e">
        <f>I805/I813</f>
        <v>#DIV/0!</v>
      </c>
    </row>
    <row r="806" spans="1:11" ht="9.75">
      <c r="A806" s="103" t="s">
        <v>40</v>
      </c>
      <c r="B806" s="107">
        <v>0</v>
      </c>
      <c r="C806" s="108">
        <v>0</v>
      </c>
      <c r="D806" s="110"/>
      <c r="E806" s="112">
        <v>1266940</v>
      </c>
      <c r="G806" s="110">
        <f t="shared" si="84"/>
        <v>-1</v>
      </c>
      <c r="H806" s="108">
        <f t="shared" si="82"/>
        <v>1266940</v>
      </c>
      <c r="I806" s="112">
        <f t="shared" si="83"/>
        <v>0</v>
      </c>
      <c r="J806" s="110">
        <f t="shared" si="81"/>
        <v>-1</v>
      </c>
      <c r="K806" s="111" t="e">
        <f>I806/I813</f>
        <v>#DIV/0!</v>
      </c>
    </row>
    <row r="807" spans="1:11" ht="9.75">
      <c r="A807" s="103" t="s">
        <v>41</v>
      </c>
      <c r="B807" s="107">
        <v>33501600</v>
      </c>
      <c r="C807" s="108"/>
      <c r="D807" s="110">
        <f>(C807-B807)/B807</f>
        <v>-1</v>
      </c>
      <c r="E807" s="112">
        <v>0</v>
      </c>
      <c r="G807" s="110">
        <v>0</v>
      </c>
      <c r="H807" s="108">
        <f t="shared" si="82"/>
        <v>33501600</v>
      </c>
      <c r="I807" s="112">
        <f t="shared" si="83"/>
        <v>0</v>
      </c>
      <c r="J807" s="110">
        <f t="shared" si="81"/>
        <v>-1</v>
      </c>
      <c r="K807" s="111" t="e">
        <f>I807/I813</f>
        <v>#DIV/0!</v>
      </c>
    </row>
    <row r="808" spans="1:11" ht="9.75">
      <c r="A808" s="103" t="s">
        <v>42</v>
      </c>
      <c r="B808" s="107">
        <v>12626670</v>
      </c>
      <c r="C808" s="108"/>
      <c r="D808" s="110">
        <f>(C808-B808)/B808</f>
        <v>-1</v>
      </c>
      <c r="E808" s="112">
        <v>28480</v>
      </c>
      <c r="G808" s="110">
        <f t="shared" si="84"/>
        <v>-1</v>
      </c>
      <c r="H808" s="108">
        <f t="shared" si="82"/>
        <v>12655150</v>
      </c>
      <c r="I808" s="112">
        <f t="shared" si="83"/>
        <v>0</v>
      </c>
      <c r="J808" s="110">
        <f t="shared" si="81"/>
        <v>-1</v>
      </c>
      <c r="K808" s="111" t="e">
        <f>I808/I813</f>
        <v>#DIV/0!</v>
      </c>
    </row>
    <row r="809" spans="1:11" ht="9.75">
      <c r="A809" s="103" t="s">
        <v>43</v>
      </c>
      <c r="B809" s="107">
        <v>8316280</v>
      </c>
      <c r="C809" s="108"/>
      <c r="D809" s="110">
        <f>(C809-B809)/B809</f>
        <v>-1</v>
      </c>
      <c r="E809" s="112">
        <v>2256060</v>
      </c>
      <c r="G809" s="110">
        <f t="shared" si="84"/>
        <v>-1</v>
      </c>
      <c r="H809" s="108">
        <f t="shared" si="82"/>
        <v>10572340</v>
      </c>
      <c r="I809" s="112">
        <f t="shared" si="83"/>
        <v>0</v>
      </c>
      <c r="J809" s="110">
        <f t="shared" si="81"/>
        <v>-1</v>
      </c>
      <c r="K809" s="111" t="e">
        <f>I809/I813</f>
        <v>#DIV/0!</v>
      </c>
    </row>
    <row r="810" spans="1:11" ht="9.75">
      <c r="A810" s="103" t="s">
        <v>44</v>
      </c>
      <c r="B810" s="107">
        <v>0</v>
      </c>
      <c r="C810" s="108"/>
      <c r="D810" s="110"/>
      <c r="E810" s="112">
        <v>2778550</v>
      </c>
      <c r="G810" s="110">
        <f t="shared" si="84"/>
        <v>-1</v>
      </c>
      <c r="H810" s="108">
        <f t="shared" si="82"/>
        <v>2778550</v>
      </c>
      <c r="I810" s="112">
        <f t="shared" si="83"/>
        <v>0</v>
      </c>
      <c r="J810" s="110">
        <f t="shared" si="81"/>
        <v>-1</v>
      </c>
      <c r="K810" s="111" t="e">
        <f>I810/I813</f>
        <v>#DIV/0!</v>
      </c>
    </row>
    <row r="811" spans="1:11" ht="9.75">
      <c r="A811" s="103" t="s">
        <v>45</v>
      </c>
      <c r="B811" s="107">
        <v>0</v>
      </c>
      <c r="C811" s="108">
        <v>0</v>
      </c>
      <c r="D811" s="110"/>
      <c r="E811" s="112">
        <v>84120</v>
      </c>
      <c r="G811" s="110">
        <f t="shared" si="84"/>
        <v>-1</v>
      </c>
      <c r="H811" s="108">
        <f t="shared" si="82"/>
        <v>84120</v>
      </c>
      <c r="I811" s="112">
        <f t="shared" si="83"/>
        <v>0</v>
      </c>
      <c r="J811" s="110">
        <v>0</v>
      </c>
      <c r="K811" s="111" t="e">
        <f>I811/I813</f>
        <v>#DIV/0!</v>
      </c>
    </row>
    <row r="812" spans="1:11" ht="10.5" thickBot="1">
      <c r="A812" s="103" t="s">
        <v>64</v>
      </c>
      <c r="B812" s="276">
        <v>0</v>
      </c>
      <c r="C812" s="277">
        <v>0</v>
      </c>
      <c r="D812" s="278">
        <v>0</v>
      </c>
      <c r="E812" s="112">
        <v>4052770</v>
      </c>
      <c r="G812" s="110">
        <f t="shared" si="84"/>
        <v>-1</v>
      </c>
      <c r="H812" s="108">
        <f t="shared" si="82"/>
        <v>4052770</v>
      </c>
      <c r="I812" s="112">
        <f t="shared" si="83"/>
        <v>0</v>
      </c>
      <c r="J812" s="110">
        <f t="shared" si="81"/>
        <v>-1</v>
      </c>
      <c r="K812" s="275" t="e">
        <f>I812/I813</f>
        <v>#DIV/0!</v>
      </c>
    </row>
    <row r="813" spans="1:11" ht="10.5" thickBot="1">
      <c r="A813" s="250" t="s">
        <v>47</v>
      </c>
      <c r="B813" s="259">
        <f>SUM(B802:B812)</f>
        <v>54444550</v>
      </c>
      <c r="C813" s="260">
        <f>SUM(C802:C812)</f>
        <v>0</v>
      </c>
      <c r="D813" s="256">
        <f>(C813-B813)/B813</f>
        <v>-1</v>
      </c>
      <c r="E813" s="259">
        <f>SUM(E802:E812)</f>
        <v>164816020</v>
      </c>
      <c r="F813" s="260">
        <f>SUM(F802:F812)</f>
        <v>0</v>
      </c>
      <c r="G813" s="256">
        <f t="shared" si="84"/>
        <v>-1</v>
      </c>
      <c r="H813" s="263">
        <f>SUM(H802:H812)</f>
        <v>219260570</v>
      </c>
      <c r="I813" s="255">
        <f>SUM(I802:I812)</f>
        <v>0</v>
      </c>
      <c r="J813" s="256">
        <f t="shared" si="81"/>
        <v>-1</v>
      </c>
      <c r="K813" s="256" t="e">
        <f>SUM(K802:K812)</f>
        <v>#DIV/0!</v>
      </c>
    </row>
    <row r="814" spans="1:10" ht="9.75">
      <c r="A814" s="274" t="s">
        <v>127</v>
      </c>
      <c r="B814" s="104"/>
      <c r="C814" s="108"/>
      <c r="D814" s="104"/>
      <c r="E814" s="104"/>
      <c r="F814" s="108"/>
      <c r="G814" s="104"/>
      <c r="H814" s="108">
        <v>0</v>
      </c>
      <c r="I814" s="109">
        <v>0</v>
      </c>
      <c r="J814" s="110">
        <v>0</v>
      </c>
    </row>
    <row r="815" spans="1:10" ht="9.75">
      <c r="A815" s="274" t="s">
        <v>174</v>
      </c>
      <c r="B815" s="104"/>
      <c r="C815" s="108"/>
      <c r="D815" s="104"/>
      <c r="E815" s="104"/>
      <c r="F815" s="108"/>
      <c r="G815" s="104"/>
      <c r="H815" s="112">
        <v>-323510</v>
      </c>
      <c r="J815" s="110">
        <v>0</v>
      </c>
    </row>
    <row r="816" spans="1:10" ht="10.5" thickBot="1">
      <c r="A816" s="274" t="s">
        <v>49</v>
      </c>
      <c r="B816" s="104"/>
      <c r="C816" s="108"/>
      <c r="D816" s="104"/>
      <c r="E816" s="104"/>
      <c r="F816" s="108"/>
      <c r="G816" s="104"/>
      <c r="H816" s="112">
        <v>-38308960</v>
      </c>
      <c r="J816" s="110">
        <v>0</v>
      </c>
    </row>
    <row r="817" spans="1:10" ht="10.5" thickBot="1">
      <c r="A817" s="250" t="s">
        <v>50</v>
      </c>
      <c r="B817" s="253"/>
      <c r="C817" s="260"/>
      <c r="D817" s="253"/>
      <c r="E817" s="253"/>
      <c r="F817" s="260"/>
      <c r="G817" s="253"/>
      <c r="H817" s="255">
        <f>SUM(H813:H816)</f>
        <v>180628100</v>
      </c>
      <c r="I817" s="260">
        <f>SUM(I813+I815+I816)</f>
        <v>0</v>
      </c>
      <c r="J817" s="256">
        <v>0</v>
      </c>
    </row>
    <row r="818" spans="1:10" ht="9.75">
      <c r="A818" s="274" t="s">
        <v>127</v>
      </c>
      <c r="B818" s="104"/>
      <c r="C818" s="108"/>
      <c r="D818" s="104"/>
      <c r="E818" s="104"/>
      <c r="F818" s="108"/>
      <c r="G818" s="104"/>
      <c r="H818" s="112">
        <v>-271460</v>
      </c>
      <c r="J818" s="110">
        <v>0</v>
      </c>
    </row>
    <row r="819" spans="1:10" ht="9.75">
      <c r="A819" s="274" t="s">
        <v>78</v>
      </c>
      <c r="B819" s="104"/>
      <c r="C819" s="108"/>
      <c r="D819" s="104"/>
      <c r="E819" s="104"/>
      <c r="F819" s="108"/>
      <c r="G819" s="104"/>
      <c r="H819" s="112">
        <v>0</v>
      </c>
      <c r="I819" s="112">
        <v>0</v>
      </c>
      <c r="J819" s="110">
        <v>0</v>
      </c>
    </row>
    <row r="820" spans="1:10" ht="9.75">
      <c r="A820" s="274" t="s">
        <v>128</v>
      </c>
      <c r="B820" s="104"/>
      <c r="C820" s="108"/>
      <c r="D820" s="104"/>
      <c r="E820" s="104"/>
      <c r="F820" s="108"/>
      <c r="G820" s="104"/>
      <c r="H820" s="112">
        <v>0</v>
      </c>
      <c r="I820" s="112">
        <v>0</v>
      </c>
      <c r="J820" s="110">
        <v>0</v>
      </c>
    </row>
    <row r="821" spans="1:10" ht="9.75">
      <c r="A821" s="274" t="s">
        <v>157</v>
      </c>
      <c r="B821" s="104"/>
      <c r="C821" s="108"/>
      <c r="D821" s="104"/>
      <c r="E821" s="104"/>
      <c r="F821" s="108"/>
      <c r="G821" s="104"/>
      <c r="H821" s="112">
        <v>-4174210</v>
      </c>
      <c r="J821" s="110">
        <v>0</v>
      </c>
    </row>
    <row r="822" spans="1:10" ht="9.75">
      <c r="A822" s="274" t="s">
        <v>53</v>
      </c>
      <c r="B822" s="104"/>
      <c r="C822" s="108"/>
      <c r="D822" s="104"/>
      <c r="E822" s="104"/>
      <c r="F822" s="108"/>
      <c r="G822" s="104"/>
      <c r="H822" s="112">
        <v>0</v>
      </c>
      <c r="I822" s="112">
        <v>0</v>
      </c>
      <c r="J822" s="110">
        <v>0</v>
      </c>
    </row>
    <row r="823" spans="1:10" ht="9.75">
      <c r="A823" s="274" t="s">
        <v>54</v>
      </c>
      <c r="B823" s="104"/>
      <c r="C823" s="108"/>
      <c r="D823" s="104"/>
      <c r="E823" s="104"/>
      <c r="F823" s="108"/>
      <c r="G823" s="104"/>
      <c r="H823" s="112">
        <v>0</v>
      </c>
      <c r="I823" s="112">
        <v>0</v>
      </c>
      <c r="J823" s="110">
        <v>0</v>
      </c>
    </row>
    <row r="824" spans="1:10" ht="9.75">
      <c r="A824" s="274" t="s">
        <v>55</v>
      </c>
      <c r="B824" s="104"/>
      <c r="C824" s="108"/>
      <c r="D824" s="104"/>
      <c r="E824" s="104"/>
      <c r="F824" s="108"/>
      <c r="G824" s="104"/>
      <c r="H824" s="112">
        <v>0</v>
      </c>
      <c r="I824" s="112">
        <v>0</v>
      </c>
      <c r="J824" s="110">
        <v>0</v>
      </c>
    </row>
    <row r="825" spans="1:10" ht="9.75">
      <c r="A825" s="274" t="s">
        <v>56</v>
      </c>
      <c r="B825" s="104"/>
      <c r="C825" s="108"/>
      <c r="D825" s="104"/>
      <c r="E825" s="104"/>
      <c r="F825" s="108"/>
      <c r="G825" s="104"/>
      <c r="H825" s="112">
        <v>-1772770</v>
      </c>
      <c r="J825" s="110">
        <v>0</v>
      </c>
    </row>
    <row r="826" spans="1:10" ht="9.75">
      <c r="A826" s="274" t="s">
        <v>57</v>
      </c>
      <c r="B826" s="104"/>
      <c r="C826" s="108"/>
      <c r="D826" s="104"/>
      <c r="E826" s="104"/>
      <c r="F826" s="108"/>
      <c r="G826" s="104"/>
      <c r="H826" s="112">
        <v>-13208016</v>
      </c>
      <c r="J826" s="110">
        <v>0</v>
      </c>
    </row>
    <row r="827" spans="1:10" ht="9.75">
      <c r="A827" s="274" t="s">
        <v>58</v>
      </c>
      <c r="B827" s="104"/>
      <c r="C827" s="108"/>
      <c r="D827" s="104"/>
      <c r="E827" s="104"/>
      <c r="F827" s="108"/>
      <c r="G827" s="104"/>
      <c r="H827" s="112">
        <v>-1382985</v>
      </c>
      <c r="J827" s="110">
        <v>0</v>
      </c>
    </row>
    <row r="828" spans="1:10" ht="10.5" thickBot="1">
      <c r="A828" s="274" t="s">
        <v>59</v>
      </c>
      <c r="B828" s="104"/>
      <c r="C828" s="108"/>
      <c r="D828" s="104"/>
      <c r="E828" s="104"/>
      <c r="F828" s="108"/>
      <c r="G828" s="104"/>
      <c r="H828" s="112"/>
      <c r="I828" s="112">
        <v>0</v>
      </c>
      <c r="J828" s="110">
        <v>0</v>
      </c>
    </row>
    <row r="829" spans="1:10" ht="10.5" thickBot="1">
      <c r="A829" s="250" t="s">
        <v>60</v>
      </c>
      <c r="B829" s="253"/>
      <c r="C829" s="260"/>
      <c r="D829" s="253"/>
      <c r="E829" s="253"/>
      <c r="F829" s="260"/>
      <c r="G829" s="253"/>
      <c r="H829" s="254">
        <f>(H817+H818+H821+H825+H826+H827+H828)</f>
        <v>159818659</v>
      </c>
      <c r="I829" s="255">
        <f>SUM(I817:I828)</f>
        <v>0</v>
      </c>
      <c r="J829" s="256">
        <f>(I829-H829)/H829</f>
        <v>-1</v>
      </c>
    </row>
    <row r="830" spans="1:11" ht="10.5">
      <c r="A830" s="121" t="str">
        <f>A792</f>
        <v>2019 Adopted/2019 Revenue Neutral Tax Rate</v>
      </c>
      <c r="E830" s="141">
        <v>0.085</v>
      </c>
      <c r="F830" s="143"/>
      <c r="G830" s="123"/>
      <c r="H830" s="124"/>
      <c r="I830" s="125"/>
      <c r="J830" s="117"/>
      <c r="K830" s="146"/>
    </row>
    <row r="831" spans="1:11" ht="10.5">
      <c r="A831" s="146"/>
      <c r="B831" s="104"/>
      <c r="C831" s="108"/>
      <c r="D831" s="104"/>
      <c r="E831" s="104"/>
      <c r="F831" s="108"/>
      <c r="G831" s="104"/>
      <c r="H831" s="124"/>
      <c r="I831" s="125"/>
      <c r="J831" s="146"/>
      <c r="K831" s="146"/>
    </row>
    <row r="832" spans="1:10" ht="10.5">
      <c r="A832" s="146"/>
      <c r="G832" s="123"/>
      <c r="H832" s="146"/>
      <c r="I832" s="108"/>
      <c r="J832" s="146"/>
    </row>
    <row r="833" spans="1:10" ht="9.75">
      <c r="A833" s="121" t="s">
        <v>62</v>
      </c>
      <c r="H833" s="268">
        <f>(H829*E830)/100</f>
        <v>135845.86015</v>
      </c>
      <c r="I833" s="112">
        <f>(I829*F830)/100</f>
        <v>0</v>
      </c>
      <c r="J833" s="123">
        <f>(I833-H833)/H833</f>
        <v>-1</v>
      </c>
    </row>
    <row r="834" spans="1:10" ht="9.75">
      <c r="A834" s="121" t="s">
        <v>18</v>
      </c>
      <c r="H834" s="112">
        <v>2470728</v>
      </c>
      <c r="J834" s="117">
        <f>(I834-H834)/H834</f>
        <v>-1</v>
      </c>
    </row>
    <row r="835" spans="1:10" ht="9.75">
      <c r="A835" s="121" t="s">
        <v>17</v>
      </c>
      <c r="H835" s="112">
        <v>18825</v>
      </c>
      <c r="J835" s="117">
        <f>(I835-H835)/H835</f>
        <v>-1</v>
      </c>
    </row>
    <row r="836" spans="1:11" ht="9.75">
      <c r="A836" s="220"/>
      <c r="B836" s="220"/>
      <c r="C836" s="373"/>
      <c r="D836" s="220"/>
      <c r="E836" s="220"/>
      <c r="F836" s="373"/>
      <c r="G836" s="220"/>
      <c r="H836" s="220"/>
      <c r="I836" s="373"/>
      <c r="J836" s="220"/>
      <c r="K836" s="221"/>
    </row>
    <row r="853" spans="1:11" ht="10.5" thickBot="1">
      <c r="A853" s="155" t="s">
        <v>0</v>
      </c>
      <c r="B853" s="156"/>
      <c r="C853" s="157"/>
      <c r="D853" s="156"/>
      <c r="E853" s="156"/>
      <c r="F853" s="157"/>
      <c r="G853" s="156"/>
      <c r="H853" s="157"/>
      <c r="I853" s="157"/>
      <c r="J853" s="156"/>
      <c r="K853" s="156"/>
    </row>
    <row r="854" spans="1:11" ht="9.75">
      <c r="A854" s="158" t="s">
        <v>66</v>
      </c>
      <c r="B854" s="159" t="s">
        <v>32</v>
      </c>
      <c r="C854" s="374"/>
      <c r="D854" s="161"/>
      <c r="E854" s="159" t="s">
        <v>33</v>
      </c>
      <c r="F854" s="374"/>
      <c r="G854" s="161"/>
      <c r="H854" s="159" t="s">
        <v>34</v>
      </c>
      <c r="I854" s="374"/>
      <c r="J854" s="161"/>
      <c r="K854" s="156"/>
    </row>
    <row r="855" spans="1:11" ht="9.75">
      <c r="A855" s="156" t="s">
        <v>35</v>
      </c>
      <c r="B855" s="164" t="s">
        <v>195</v>
      </c>
      <c r="C855" s="195" t="s">
        <v>195</v>
      </c>
      <c r="D855" s="163" t="s">
        <v>67</v>
      </c>
      <c r="E855" s="164" t="str">
        <f>B855</f>
        <v>2014 Certified</v>
      </c>
      <c r="F855" s="375" t="s">
        <v>188</v>
      </c>
      <c r="G855" s="163" t="s">
        <v>67</v>
      </c>
      <c r="H855" s="164" t="s">
        <v>189</v>
      </c>
      <c r="I855" s="375" t="s">
        <v>189</v>
      </c>
      <c r="J855" s="163" t="s">
        <v>67</v>
      </c>
      <c r="K855" s="166" t="s">
        <v>71</v>
      </c>
    </row>
    <row r="856" spans="1:11" ht="9.75">
      <c r="A856" s="156"/>
      <c r="B856" s="167"/>
      <c r="C856" s="171"/>
      <c r="D856" s="169"/>
      <c r="E856" s="167"/>
      <c r="F856" s="171"/>
      <c r="G856" s="169"/>
      <c r="H856" s="167"/>
      <c r="I856" s="171"/>
      <c r="J856" s="169"/>
      <c r="K856" s="156"/>
    </row>
    <row r="857" spans="1:11" ht="9.75">
      <c r="A857" s="156" t="s">
        <v>36</v>
      </c>
      <c r="B857" s="170">
        <v>0</v>
      </c>
      <c r="C857" s="171">
        <v>0</v>
      </c>
      <c r="D857" s="169"/>
      <c r="E857" s="170">
        <v>0</v>
      </c>
      <c r="F857" s="171">
        <v>0</v>
      </c>
      <c r="G857" s="172" t="e">
        <f>(F857-E857)/E857</f>
        <v>#DIV/0!</v>
      </c>
      <c r="H857" s="170">
        <f aca="true" t="shared" si="85" ref="H857:I867">B857+E857</f>
        <v>0</v>
      </c>
      <c r="I857" s="171">
        <f t="shared" si="85"/>
        <v>0</v>
      </c>
      <c r="J857" s="172" t="e">
        <f>(I857-H857)/H857</f>
        <v>#DIV/0!</v>
      </c>
      <c r="K857" s="173" t="e">
        <f>I857/I868</f>
        <v>#DIV/0!</v>
      </c>
    </row>
    <row r="858" spans="1:11" ht="9.75">
      <c r="A858" s="156" t="s">
        <v>37</v>
      </c>
      <c r="B858" s="170">
        <v>0</v>
      </c>
      <c r="C858" s="171">
        <v>0</v>
      </c>
      <c r="D858" s="169"/>
      <c r="E858" s="170">
        <v>0</v>
      </c>
      <c r="F858" s="171">
        <v>0</v>
      </c>
      <c r="G858" s="172"/>
      <c r="H858" s="170">
        <f t="shared" si="85"/>
        <v>0</v>
      </c>
      <c r="I858" s="171">
        <f t="shared" si="85"/>
        <v>0</v>
      </c>
      <c r="J858" s="172"/>
      <c r="K858" s="173" t="e">
        <f>I858/I868</f>
        <v>#DIV/0!</v>
      </c>
    </row>
    <row r="859" spans="1:11" ht="9.75">
      <c r="A859" s="156" t="s">
        <v>38</v>
      </c>
      <c r="B859" s="170">
        <v>0</v>
      </c>
      <c r="C859" s="171">
        <v>0</v>
      </c>
      <c r="D859" s="169"/>
      <c r="E859" s="170">
        <v>0</v>
      </c>
      <c r="F859" s="171">
        <v>0</v>
      </c>
      <c r="G859" s="172" t="e">
        <f>(F859-E859)/E859</f>
        <v>#DIV/0!</v>
      </c>
      <c r="H859" s="170">
        <f t="shared" si="85"/>
        <v>0</v>
      </c>
      <c r="I859" s="171">
        <f t="shared" si="85"/>
        <v>0</v>
      </c>
      <c r="J859" s="172" t="e">
        <f aca="true" t="shared" si="86" ref="J859:J865">(I859-H859)/H859</f>
        <v>#DIV/0!</v>
      </c>
      <c r="K859" s="173" t="e">
        <f>I859/I868</f>
        <v>#DIV/0!</v>
      </c>
    </row>
    <row r="860" spans="1:11" ht="9.75">
      <c r="A860" s="156" t="s">
        <v>39</v>
      </c>
      <c r="B860" s="170">
        <v>0</v>
      </c>
      <c r="C860" s="171">
        <v>0</v>
      </c>
      <c r="D860" s="169"/>
      <c r="E860" s="170">
        <v>0</v>
      </c>
      <c r="F860" s="171">
        <v>0</v>
      </c>
      <c r="G860" s="172" t="e">
        <f>(F860-E860)/E860</f>
        <v>#DIV/0!</v>
      </c>
      <c r="H860" s="170">
        <f t="shared" si="85"/>
        <v>0</v>
      </c>
      <c r="I860" s="171">
        <f t="shared" si="85"/>
        <v>0</v>
      </c>
      <c r="J860" s="172" t="e">
        <f t="shared" si="86"/>
        <v>#DIV/0!</v>
      </c>
      <c r="K860" s="173" t="e">
        <f>I860/I868</f>
        <v>#DIV/0!</v>
      </c>
    </row>
    <row r="861" spans="1:11" ht="9.75">
      <c r="A861" s="156" t="s">
        <v>40</v>
      </c>
      <c r="B861" s="170">
        <v>0</v>
      </c>
      <c r="C861" s="171">
        <v>0</v>
      </c>
      <c r="D861" s="169"/>
      <c r="E861" s="170">
        <v>0</v>
      </c>
      <c r="F861" s="171">
        <v>0</v>
      </c>
      <c r="G861" s="172" t="e">
        <f>(F861-E861)/E861</f>
        <v>#DIV/0!</v>
      </c>
      <c r="H861" s="170">
        <f t="shared" si="85"/>
        <v>0</v>
      </c>
      <c r="I861" s="171">
        <f t="shared" si="85"/>
        <v>0</v>
      </c>
      <c r="J861" s="172" t="e">
        <f t="shared" si="86"/>
        <v>#DIV/0!</v>
      </c>
      <c r="K861" s="173" t="e">
        <f>I861/I868</f>
        <v>#DIV/0!</v>
      </c>
    </row>
    <row r="862" spans="1:11" ht="9.75">
      <c r="A862" s="156" t="s">
        <v>41</v>
      </c>
      <c r="B862" s="170">
        <v>0</v>
      </c>
      <c r="C862" s="171">
        <v>0</v>
      </c>
      <c r="D862" s="172" t="e">
        <f>(C862-B862)/B862</f>
        <v>#DIV/0!</v>
      </c>
      <c r="E862" s="170">
        <v>0</v>
      </c>
      <c r="F862" s="171">
        <v>0</v>
      </c>
      <c r="G862" s="172"/>
      <c r="H862" s="170">
        <f t="shared" si="85"/>
        <v>0</v>
      </c>
      <c r="I862" s="171">
        <f t="shared" si="85"/>
        <v>0</v>
      </c>
      <c r="J862" s="172" t="e">
        <f t="shared" si="86"/>
        <v>#DIV/0!</v>
      </c>
      <c r="K862" s="173" t="e">
        <f>I862/I868</f>
        <v>#DIV/0!</v>
      </c>
    </row>
    <row r="863" spans="1:11" ht="9.75">
      <c r="A863" s="156" t="s">
        <v>42</v>
      </c>
      <c r="B863" s="170">
        <v>0</v>
      </c>
      <c r="C863" s="171">
        <v>0</v>
      </c>
      <c r="D863" s="172" t="e">
        <f>(C863-B863)/B863</f>
        <v>#DIV/0!</v>
      </c>
      <c r="E863" s="170">
        <v>0</v>
      </c>
      <c r="F863" s="171">
        <v>0</v>
      </c>
      <c r="G863" s="172" t="e">
        <f>(F863-E863)/E863</f>
        <v>#DIV/0!</v>
      </c>
      <c r="H863" s="170">
        <f t="shared" si="85"/>
        <v>0</v>
      </c>
      <c r="I863" s="171">
        <f t="shared" si="85"/>
        <v>0</v>
      </c>
      <c r="J863" s="172" t="e">
        <f t="shared" si="86"/>
        <v>#DIV/0!</v>
      </c>
      <c r="K863" s="173" t="e">
        <f>I863/I868</f>
        <v>#DIV/0!</v>
      </c>
    </row>
    <row r="864" spans="1:11" ht="9.75">
      <c r="A864" s="156" t="s">
        <v>43</v>
      </c>
      <c r="B864" s="170">
        <v>0</v>
      </c>
      <c r="C864" s="171">
        <v>0</v>
      </c>
      <c r="D864" s="172" t="e">
        <f>(C864-B864)/B864</f>
        <v>#DIV/0!</v>
      </c>
      <c r="E864" s="170">
        <v>0</v>
      </c>
      <c r="F864" s="171">
        <v>0</v>
      </c>
      <c r="G864" s="172" t="e">
        <f>(F864-E864)/E864</f>
        <v>#DIV/0!</v>
      </c>
      <c r="H864" s="170">
        <f t="shared" si="85"/>
        <v>0</v>
      </c>
      <c r="I864" s="171">
        <f t="shared" si="85"/>
        <v>0</v>
      </c>
      <c r="J864" s="172" t="e">
        <f t="shared" si="86"/>
        <v>#DIV/0!</v>
      </c>
      <c r="K864" s="173" t="e">
        <f>I864/I868</f>
        <v>#DIV/0!</v>
      </c>
    </row>
    <row r="865" spans="1:11" ht="9.75">
      <c r="A865" s="156" t="s">
        <v>44</v>
      </c>
      <c r="B865" s="170">
        <v>0</v>
      </c>
      <c r="C865" s="171">
        <v>0</v>
      </c>
      <c r="D865" s="172"/>
      <c r="E865" s="170">
        <f>'2019 Certified Values'!E383</f>
        <v>0</v>
      </c>
      <c r="F865" s="171">
        <v>0</v>
      </c>
      <c r="G865" s="172" t="e">
        <f>(F865-E865)/E865</f>
        <v>#DIV/0!</v>
      </c>
      <c r="H865" s="170">
        <f t="shared" si="85"/>
        <v>0</v>
      </c>
      <c r="I865" s="171">
        <f t="shared" si="85"/>
        <v>0</v>
      </c>
      <c r="J865" s="172" t="e">
        <f t="shared" si="86"/>
        <v>#DIV/0!</v>
      </c>
      <c r="K865" s="173" t="e">
        <f>I865/I868</f>
        <v>#DIV/0!</v>
      </c>
    </row>
    <row r="866" spans="1:11" ht="9.75">
      <c r="A866" s="156" t="s">
        <v>45</v>
      </c>
      <c r="B866" s="170">
        <v>0</v>
      </c>
      <c r="C866" s="171">
        <v>0</v>
      </c>
      <c r="D866" s="172"/>
      <c r="E866" s="170">
        <v>0</v>
      </c>
      <c r="F866" s="171">
        <v>0</v>
      </c>
      <c r="G866" s="172"/>
      <c r="H866" s="170">
        <f t="shared" si="85"/>
        <v>0</v>
      </c>
      <c r="I866" s="171">
        <f t="shared" si="85"/>
        <v>0</v>
      </c>
      <c r="J866" s="172"/>
      <c r="K866" s="173" t="e">
        <f>I866/I868</f>
        <v>#DIV/0!</v>
      </c>
    </row>
    <row r="867" spans="1:11" ht="9.75">
      <c r="A867" s="156" t="s">
        <v>46</v>
      </c>
      <c r="B867" s="174">
        <v>0</v>
      </c>
      <c r="C867" s="171">
        <v>0</v>
      </c>
      <c r="D867" s="172"/>
      <c r="E867" s="170">
        <v>0</v>
      </c>
      <c r="F867" s="171">
        <v>0</v>
      </c>
      <c r="G867" s="172" t="e">
        <f>(F867-E867)/E867</f>
        <v>#DIV/0!</v>
      </c>
      <c r="H867" s="174">
        <f t="shared" si="85"/>
        <v>0</v>
      </c>
      <c r="I867" s="171">
        <f t="shared" si="85"/>
        <v>0</v>
      </c>
      <c r="J867" s="172" t="e">
        <f>(I867-H867)/H867</f>
        <v>#DIV/0!</v>
      </c>
      <c r="K867" s="175" t="e">
        <f>I867/I868</f>
        <v>#DIV/0!</v>
      </c>
    </row>
    <row r="868" spans="1:11" ht="10.5" thickBot="1">
      <c r="A868" s="176" t="s">
        <v>47</v>
      </c>
      <c r="B868" s="177">
        <f>SUM(B862:B867)</f>
        <v>0</v>
      </c>
      <c r="C868" s="178">
        <f>SUM(C862:C867)</f>
        <v>0</v>
      </c>
      <c r="D868" s="179" t="e">
        <f>(C868-B868)/B868</f>
        <v>#DIV/0!</v>
      </c>
      <c r="E868" s="180">
        <f>SUM(E857:E867)</f>
        <v>0</v>
      </c>
      <c r="F868" s="180">
        <f>SUM(F857:F867)</f>
        <v>0</v>
      </c>
      <c r="G868" s="179" t="e">
        <f>(F868-E868)/E868</f>
        <v>#DIV/0!</v>
      </c>
      <c r="H868" s="177">
        <f>SUM(H857:H867)</f>
        <v>0</v>
      </c>
      <c r="I868" s="178">
        <f>SUM(I857:I867)</f>
        <v>0</v>
      </c>
      <c r="J868" s="179" t="e">
        <f>(I868-H868)/H868</f>
        <v>#DIV/0!</v>
      </c>
      <c r="K868" s="181" t="e">
        <f>SUM(K857:K867)</f>
        <v>#DIV/0!</v>
      </c>
    </row>
    <row r="869" spans="1:11" ht="9.75">
      <c r="A869" s="182" t="str">
        <f>A16</f>
        <v>Less Minimum Value Loss</v>
      </c>
      <c r="B869" s="183"/>
      <c r="C869" s="157"/>
      <c r="D869" s="184"/>
      <c r="E869" s="183"/>
      <c r="F869" s="157"/>
      <c r="G869" s="156"/>
      <c r="H869" s="185">
        <f>'2019 Certified Values'!H387</f>
        <v>5649430</v>
      </c>
      <c r="I869" s="157"/>
      <c r="J869" s="181"/>
      <c r="K869" s="156"/>
    </row>
    <row r="870" spans="1:11" ht="9.75">
      <c r="A870" s="113" t="s">
        <v>174</v>
      </c>
      <c r="B870" s="183"/>
      <c r="C870" s="157"/>
      <c r="D870" s="184"/>
      <c r="E870" s="183"/>
      <c r="F870" s="157"/>
      <c r="G870" s="156"/>
      <c r="H870" s="185">
        <f>'2019 Certified Values'!H388</f>
        <v>17818360</v>
      </c>
      <c r="I870" s="157"/>
      <c r="J870" s="181">
        <f>(I870-H870)/H870</f>
        <v>-1</v>
      </c>
      <c r="K870" s="156"/>
    </row>
    <row r="871" spans="1:11" ht="9.75">
      <c r="A871" s="182" t="s">
        <v>49</v>
      </c>
      <c r="B871" s="183"/>
      <c r="C871" s="157"/>
      <c r="D871" s="184"/>
      <c r="E871" s="183"/>
      <c r="F871" s="157"/>
      <c r="G871" s="156"/>
      <c r="H871" s="185">
        <f>'2019 Certified Values'!H389</f>
        <v>0</v>
      </c>
      <c r="I871" s="195"/>
      <c r="J871" s="181" t="e">
        <f>(I871-H871)/H871</f>
        <v>#DIV/0!</v>
      </c>
      <c r="K871" s="156"/>
    </row>
    <row r="872" spans="1:11" ht="9.75">
      <c r="A872" s="176" t="s">
        <v>50</v>
      </c>
      <c r="B872" s="187"/>
      <c r="C872" s="190"/>
      <c r="D872" s="188"/>
      <c r="E872" s="187"/>
      <c r="F872" s="190"/>
      <c r="G872" s="189"/>
      <c r="H872" s="190">
        <f>SUM(H868:H871)</f>
        <v>23467790</v>
      </c>
      <c r="I872" s="191">
        <f>SUM(I868:I871)</f>
        <v>0</v>
      </c>
      <c r="J872" s="192">
        <f>(I872-H872)/H872</f>
        <v>-1</v>
      </c>
      <c r="K872" s="156"/>
    </row>
    <row r="873" spans="1:11" ht="9.75">
      <c r="A873" s="237" t="s">
        <v>127</v>
      </c>
      <c r="B873" s="183"/>
      <c r="C873" s="157"/>
      <c r="D873" s="184"/>
      <c r="E873" s="183"/>
      <c r="F873" s="157"/>
      <c r="G873" s="156"/>
      <c r="H873" s="193">
        <f>'2019 Certified Values'!H391</f>
        <v>4674470</v>
      </c>
      <c r="I873" s="194"/>
      <c r="J873" s="181"/>
      <c r="K873" s="156"/>
    </row>
    <row r="874" spans="1:11" ht="9.75">
      <c r="A874" s="237" t="s">
        <v>78</v>
      </c>
      <c r="B874" s="183"/>
      <c r="C874" s="157"/>
      <c r="D874" s="184"/>
      <c r="E874" s="183"/>
      <c r="F874" s="157"/>
      <c r="G874" s="156"/>
      <c r="H874" s="193">
        <f>'2019 Certified Values'!H392</f>
        <v>455480</v>
      </c>
      <c r="I874" s="194"/>
      <c r="J874" s="181"/>
      <c r="K874" s="156"/>
    </row>
    <row r="875" spans="1:11" ht="9.75">
      <c r="A875" s="237" t="s">
        <v>128</v>
      </c>
      <c r="B875" s="183"/>
      <c r="C875" s="157"/>
      <c r="D875" s="184"/>
      <c r="E875" s="183"/>
      <c r="F875" s="157"/>
      <c r="G875" s="156"/>
      <c r="H875" s="193">
        <f>'2019 Certified Values'!H393</f>
        <v>3705060</v>
      </c>
      <c r="I875" s="194"/>
      <c r="J875" s="181"/>
      <c r="K875" s="156"/>
    </row>
    <row r="876" spans="1:11" ht="9.75">
      <c r="A876" s="237" t="s">
        <v>157</v>
      </c>
      <c r="B876" s="183"/>
      <c r="C876" s="157"/>
      <c r="D876" s="184"/>
      <c r="E876" s="183"/>
      <c r="F876" s="157"/>
      <c r="G876" s="156"/>
      <c r="H876" s="193">
        <f>'2019 Certified Values'!H394</f>
        <v>38655920</v>
      </c>
      <c r="I876" s="157"/>
      <c r="J876" s="181">
        <f aca="true" t="shared" si="87" ref="J876:J882">(I876-H876)/H876</f>
        <v>-1</v>
      </c>
      <c r="K876" s="156"/>
    </row>
    <row r="877" spans="1:11" ht="9.75">
      <c r="A877" s="182" t="s">
        <v>53</v>
      </c>
      <c r="B877" s="183"/>
      <c r="C877" s="157"/>
      <c r="D877" s="184"/>
      <c r="E877" s="183"/>
      <c r="F877" s="157"/>
      <c r="G877" s="156"/>
      <c r="H877" s="193">
        <f>'2019 Certified Values'!H395</f>
        <v>283410030</v>
      </c>
      <c r="I877" s="157"/>
      <c r="J877" s="181">
        <f t="shared" si="87"/>
        <v>-1</v>
      </c>
      <c r="K877" s="156"/>
    </row>
    <row r="878" spans="1:11" ht="9.75">
      <c r="A878" s="182" t="s">
        <v>54</v>
      </c>
      <c r="B878" s="183"/>
      <c r="C878" s="157"/>
      <c r="D878" s="184"/>
      <c r="E878" s="183"/>
      <c r="F878" s="157"/>
      <c r="G878" s="156"/>
      <c r="H878" s="193">
        <f>'2019 Certified Values'!H396</f>
        <v>0</v>
      </c>
      <c r="I878" s="157"/>
      <c r="J878" s="181" t="e">
        <f t="shared" si="87"/>
        <v>#DIV/0!</v>
      </c>
      <c r="K878" s="156"/>
    </row>
    <row r="879" spans="1:11" ht="9.75">
      <c r="A879" s="182" t="s">
        <v>55</v>
      </c>
      <c r="B879" s="183"/>
      <c r="C879" s="157"/>
      <c r="D879" s="184"/>
      <c r="E879" s="183"/>
      <c r="F879" s="157"/>
      <c r="G879" s="156"/>
      <c r="H879" s="193">
        <f>'2019 Certified Values'!H397</f>
        <v>-297570</v>
      </c>
      <c r="I879" s="157"/>
      <c r="J879" s="181">
        <f t="shared" si="87"/>
        <v>-1</v>
      </c>
      <c r="K879" s="156"/>
    </row>
    <row r="880" spans="1:11" ht="9.75">
      <c r="A880" s="182" t="s">
        <v>56</v>
      </c>
      <c r="B880" s="183"/>
      <c r="C880" s="157"/>
      <c r="D880" s="184"/>
      <c r="E880" s="183"/>
      <c r="F880" s="157"/>
      <c r="G880" s="156"/>
      <c r="H880" s="193">
        <f>'2019 Certified Values'!H398</f>
        <v>-1802800</v>
      </c>
      <c r="I880" s="157"/>
      <c r="J880" s="181">
        <f t="shared" si="87"/>
        <v>-1</v>
      </c>
      <c r="K880" s="156"/>
    </row>
    <row r="881" spans="1:11" ht="9.75">
      <c r="A881" s="182" t="s">
        <v>57</v>
      </c>
      <c r="B881" s="183"/>
      <c r="C881" s="157"/>
      <c r="D881" s="184"/>
      <c r="E881" s="183"/>
      <c r="F881" s="157"/>
      <c r="G881" s="156"/>
      <c r="H881" s="193">
        <f>'2019 Certified Values'!H399</f>
        <v>281309660</v>
      </c>
      <c r="I881" s="157"/>
      <c r="J881" s="181">
        <f t="shared" si="87"/>
        <v>-1</v>
      </c>
      <c r="K881" s="156"/>
    </row>
    <row r="882" spans="1:11" ht="9.75">
      <c r="A882" s="182" t="s">
        <v>58</v>
      </c>
      <c r="B882" s="183"/>
      <c r="C882" s="157"/>
      <c r="D882" s="184"/>
      <c r="E882" s="183"/>
      <c r="F882" s="157"/>
      <c r="G882" s="156"/>
      <c r="H882" s="193">
        <f>'2019 Certified Values'!H400</f>
        <v>-370</v>
      </c>
      <c r="I882" s="157"/>
      <c r="J882" s="181">
        <f t="shared" si="87"/>
        <v>-1</v>
      </c>
      <c r="K882" s="156"/>
    </row>
    <row r="883" spans="1:11" ht="9.75">
      <c r="A883" s="182" t="s">
        <v>59</v>
      </c>
      <c r="B883" s="183"/>
      <c r="C883" s="157"/>
      <c r="D883" s="184"/>
      <c r="E883" s="183"/>
      <c r="F883" s="157"/>
      <c r="G883" s="156"/>
      <c r="H883" s="195"/>
      <c r="I883" s="194"/>
      <c r="J883" s="181"/>
      <c r="K883" s="156"/>
    </row>
    <row r="884" spans="1:11" ht="9.75">
      <c r="A884" s="176" t="s">
        <v>60</v>
      </c>
      <c r="B884" s="189"/>
      <c r="C884" s="190"/>
      <c r="D884" s="189"/>
      <c r="E884" s="189"/>
      <c r="F884" s="190"/>
      <c r="G884" s="189"/>
      <c r="H884" s="195">
        <f>SUM(H872:H882)</f>
        <v>633577670</v>
      </c>
      <c r="I884" s="196">
        <f>SUM(I872:I882)</f>
        <v>0</v>
      </c>
      <c r="J884" s="192">
        <f>(I884-H884)/H884</f>
        <v>-1</v>
      </c>
      <c r="K884" s="156"/>
    </row>
    <row r="885" spans="1:11" ht="9.75">
      <c r="A885" s="197" t="s">
        <v>61</v>
      </c>
      <c r="B885" s="156"/>
      <c r="C885" s="157"/>
      <c r="D885" s="156"/>
      <c r="E885" s="185">
        <f>'2019 Certified Values'!E403</f>
        <v>0</v>
      </c>
      <c r="F885" s="157"/>
      <c r="G885" s="198" t="e">
        <f>(F885-E885)/E885</f>
        <v>#DIV/0!</v>
      </c>
      <c r="H885" s="199" t="s">
        <v>94</v>
      </c>
      <c r="I885" s="157"/>
      <c r="J885" s="156"/>
      <c r="K885" s="156"/>
    </row>
    <row r="886" spans="1:11" ht="9.75">
      <c r="A886" s="197" t="s">
        <v>19</v>
      </c>
      <c r="B886" s="156"/>
      <c r="C886" s="157"/>
      <c r="D886" s="156"/>
      <c r="E886" s="200">
        <f>'2019 Certified Values'!E404</f>
        <v>0</v>
      </c>
      <c r="F886" s="157"/>
      <c r="G886" s="198" t="e">
        <f>(F886-E886)/E886</f>
        <v>#DIV/0!</v>
      </c>
      <c r="H886" s="199" t="s">
        <v>68</v>
      </c>
      <c r="I886" s="157"/>
      <c r="J886" s="156"/>
      <c r="K886" s="156"/>
    </row>
    <row r="887" spans="1:11" ht="9.75">
      <c r="A887" s="197" t="str">
        <f>A488</f>
        <v>2019 Adopted/2019 Revenue Neutral Tax Rate</v>
      </c>
      <c r="B887" s="156"/>
      <c r="C887" s="157"/>
      <c r="D887" s="156"/>
      <c r="E887" s="202">
        <f>'2019 Certified Values'!E405</f>
        <v>0</v>
      </c>
      <c r="F887" s="157"/>
      <c r="G887" s="198" t="e">
        <f>(F887-E887)/E887</f>
        <v>#DIV/0!</v>
      </c>
      <c r="H887" s="157"/>
      <c r="I887" s="203">
        <f>SUM(I885:I886)</f>
        <v>0</v>
      </c>
      <c r="J887" s="156"/>
      <c r="K887" s="156"/>
    </row>
    <row r="888" spans="1:11" ht="9.75">
      <c r="A888" s="197" t="s">
        <v>62</v>
      </c>
      <c r="B888" s="168"/>
      <c r="C888" s="171"/>
      <c r="D888" s="168"/>
      <c r="E888" s="168"/>
      <c r="F888" s="171"/>
      <c r="G888" s="168"/>
      <c r="H888" s="205">
        <f>(H884-E885)*E887/100+E886</f>
        <v>0</v>
      </c>
      <c r="I888" s="205">
        <f>(I884-F885)*F887/100+F886</f>
        <v>0</v>
      </c>
      <c r="J888" s="181" t="e">
        <f>(I888-H888)/H888</f>
        <v>#DIV/0!</v>
      </c>
      <c r="K888" s="156"/>
    </row>
    <row r="889" spans="1:11" ht="9.75">
      <c r="A889" s="197" t="s">
        <v>18</v>
      </c>
      <c r="B889" s="168"/>
      <c r="C889" s="171"/>
      <c r="D889" s="168"/>
      <c r="E889" s="168"/>
      <c r="F889" s="171"/>
      <c r="G889" s="168"/>
      <c r="H889" s="185">
        <f>'2019 Certified Values'!H407</f>
        <v>-2172540</v>
      </c>
      <c r="I889" s="157"/>
      <c r="J889" s="181"/>
      <c r="K889" s="156"/>
    </row>
    <row r="890" spans="1:11" ht="9.75">
      <c r="A890" s="156" t="s">
        <v>17</v>
      </c>
      <c r="B890" s="156"/>
      <c r="C890" s="157"/>
      <c r="D890" s="156"/>
      <c r="E890" s="156"/>
      <c r="F890" s="157"/>
      <c r="G890" s="156"/>
      <c r="H890" s="185">
        <f>'2019 Certified Values'!H408</f>
        <v>0</v>
      </c>
      <c r="I890" s="157"/>
      <c r="J890" s="181" t="e">
        <f>(I890-H890)/H890</f>
        <v>#DIV/0!</v>
      </c>
      <c r="K890" s="156"/>
    </row>
  </sheetData>
  <sheetProtection/>
  <printOptions horizontalCentered="1"/>
  <pageMargins left="0.21" right="0.21" top="0.79" bottom="1.4" header="0.5" footer="0.5"/>
  <pageSetup horizontalDpi="600" verticalDpi="600" orientation="landscape" r:id="rId1"/>
  <headerFooter alignWithMargins="0">
    <oddHeader>&amp;C&amp;"Arial,Regular"&amp;A</oddHeader>
  </headerFooter>
  <rowBreaks count="21" manualBreakCount="21">
    <brk id="37" max="10" man="1"/>
    <brk id="75" max="10" man="1"/>
    <brk id="113" max="10" man="1"/>
    <brk id="151" max="10" man="1"/>
    <brk id="189" max="10" man="1"/>
    <brk id="227" max="10" man="1"/>
    <brk id="265" max="10" man="1"/>
    <brk id="303" max="10" man="1"/>
    <brk id="341" max="10" man="1"/>
    <brk id="379" max="10" man="1"/>
    <brk id="417" max="10" man="1"/>
    <brk id="455" max="10" man="1"/>
    <brk id="493" max="10" man="1"/>
    <brk id="531" max="10" man="1"/>
    <brk id="569" max="10" man="1"/>
    <brk id="607" max="10" man="1"/>
    <brk id="645" max="255" man="1"/>
    <brk id="683" max="10" man="1"/>
    <brk id="721" max="10" man="1"/>
    <brk id="759" max="10" man="1"/>
    <brk id="7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1001"/>
  <sheetViews>
    <sheetView view="pageLayout" workbookViewId="0" topLeftCell="A774">
      <selection activeCell="A774" sqref="A679:H774"/>
    </sheetView>
  </sheetViews>
  <sheetFormatPr defaultColWidth="9.140625" defaultRowHeight="12.75"/>
  <cols>
    <col min="1" max="1" width="9.140625" style="2" customWidth="1"/>
    <col min="2" max="2" width="3.140625" style="2" customWidth="1"/>
    <col min="3" max="3" width="18.7109375" style="2" customWidth="1"/>
    <col min="4" max="4" width="11.7109375" style="2" customWidth="1"/>
    <col min="5" max="5" width="12.140625" style="2" customWidth="1"/>
    <col min="6" max="6" width="23.00390625" style="2" customWidth="1"/>
    <col min="7" max="7" width="11.8515625" style="2" customWidth="1"/>
    <col min="8" max="16384" width="9.140625" style="2" customWidth="1"/>
  </cols>
  <sheetData>
    <row r="2" spans="1:8" ht="12.75">
      <c r="A2" s="412" t="s">
        <v>162</v>
      </c>
      <c r="B2" s="412"/>
      <c r="C2" s="412"/>
      <c r="D2" s="412"/>
      <c r="E2" s="412"/>
      <c r="F2" s="412"/>
      <c r="G2" s="412"/>
      <c r="H2" s="412"/>
    </row>
    <row r="3" spans="2:7" ht="12">
      <c r="B3" s="1"/>
      <c r="C3" s="1"/>
      <c r="D3" s="1"/>
      <c r="E3" s="1"/>
      <c r="F3" s="1"/>
      <c r="G3" s="1"/>
    </row>
    <row r="4" spans="1:7" ht="12.75">
      <c r="A4" s="412"/>
      <c r="B4" s="412"/>
      <c r="C4" s="412"/>
      <c r="D4" s="412"/>
      <c r="E4" s="412"/>
      <c r="F4" s="412"/>
      <c r="G4" s="412"/>
    </row>
    <row r="6" ht="12">
      <c r="B6" s="2" t="s">
        <v>194</v>
      </c>
    </row>
    <row r="7" ht="12">
      <c r="B7" s="2" t="s">
        <v>10</v>
      </c>
    </row>
    <row r="8" ht="12">
      <c r="B8" s="2" t="s">
        <v>11</v>
      </c>
    </row>
    <row r="9" ht="12">
      <c r="B9" s="2" t="s">
        <v>12</v>
      </c>
    </row>
    <row r="15" spans="3:6" ht="12">
      <c r="C15" s="2" t="s">
        <v>13</v>
      </c>
      <c r="F15" s="8">
        <f>'2019 Certified Values'!I15</f>
        <v>390568580</v>
      </c>
    </row>
    <row r="17" ht="12">
      <c r="C17" s="11" t="s">
        <v>80</v>
      </c>
    </row>
    <row r="18" spans="3:6" ht="12">
      <c r="C18" s="2" t="s">
        <v>15</v>
      </c>
      <c r="F18" s="12">
        <f>'2019 Certified Values'!I19</f>
        <v>340856890</v>
      </c>
    </row>
    <row r="20" ht="12">
      <c r="C20" s="13" t="s">
        <v>81</v>
      </c>
    </row>
    <row r="21" spans="3:6" ht="15">
      <c r="C21" s="14" t="s">
        <v>16</v>
      </c>
      <c r="F21" s="15">
        <f>'2019 Certified Values'!I31</f>
        <v>293921007</v>
      </c>
    </row>
    <row r="23" spans="3:6" ht="12">
      <c r="C23" s="3" t="s">
        <v>17</v>
      </c>
      <c r="F23" s="8">
        <f>'2019 Certified Values'!I37</f>
        <v>24417</v>
      </c>
    </row>
    <row r="25" spans="3:6" ht="12">
      <c r="C25" s="3" t="s">
        <v>18</v>
      </c>
      <c r="F25" s="8">
        <f>'2019 Certified Values'!I36</f>
        <v>56978275</v>
      </c>
    </row>
    <row r="27" spans="3:6" ht="12">
      <c r="C27" s="3" t="s">
        <v>61</v>
      </c>
      <c r="F27" s="8">
        <f>'2019 Certified Values'!F32</f>
        <v>14878899</v>
      </c>
    </row>
    <row r="29" spans="3:6" ht="12">
      <c r="C29" s="3" t="s">
        <v>19</v>
      </c>
      <c r="F29" s="16">
        <f>'2019 Certified Values'!F33</f>
        <v>147428.86</v>
      </c>
    </row>
    <row r="31" spans="3:6" ht="12">
      <c r="C31" s="9" t="s">
        <v>72</v>
      </c>
      <c r="F31" s="66">
        <f>'2019 Certified Values'!I17</f>
        <v>-241910</v>
      </c>
    </row>
    <row r="32" ht="12">
      <c r="F32" s="5"/>
    </row>
    <row r="33" spans="3:6" ht="12">
      <c r="C33" s="9"/>
      <c r="F33" s="5"/>
    </row>
    <row r="34" ht="12">
      <c r="F34" s="5"/>
    </row>
    <row r="35" spans="3:6" ht="12">
      <c r="C35" s="9"/>
      <c r="F35" s="5"/>
    </row>
    <row r="39" spans="3:6" ht="12">
      <c r="C39" s="17"/>
      <c r="D39" s="17"/>
      <c r="E39" s="6"/>
      <c r="F39" s="17"/>
    </row>
    <row r="40" spans="3:6" ht="12">
      <c r="C40" s="3" t="s">
        <v>20</v>
      </c>
      <c r="F40" s="3" t="s">
        <v>21</v>
      </c>
    </row>
    <row r="42" spans="3:6" ht="12">
      <c r="C42" s="17"/>
      <c r="D42" s="17"/>
      <c r="E42" s="6"/>
      <c r="F42" s="17"/>
    </row>
    <row r="43" spans="3:6" ht="12">
      <c r="C43" s="3" t="s">
        <v>22</v>
      </c>
      <c r="F43" s="3" t="s">
        <v>21</v>
      </c>
    </row>
    <row r="48" spans="1:8" ht="12.75">
      <c r="A48" s="412" t="s">
        <v>23</v>
      </c>
      <c r="B48" s="412"/>
      <c r="C48" s="412"/>
      <c r="D48" s="412"/>
      <c r="E48" s="412"/>
      <c r="F48" s="412"/>
      <c r="G48" s="412"/>
      <c r="H48" s="412"/>
    </row>
    <row r="49" spans="1:7" ht="12.75">
      <c r="A49" s="412"/>
      <c r="B49" s="412"/>
      <c r="C49" s="412"/>
      <c r="D49" s="412"/>
      <c r="E49" s="412"/>
      <c r="F49" s="412"/>
      <c r="G49" s="412"/>
    </row>
    <row r="51" ht="12">
      <c r="B51" s="2" t="s">
        <v>194</v>
      </c>
    </row>
    <row r="52" ht="12">
      <c r="B52" s="2" t="s">
        <v>10</v>
      </c>
    </row>
    <row r="53" ht="12">
      <c r="B53" s="2" t="s">
        <v>11</v>
      </c>
    </row>
    <row r="54" ht="12">
      <c r="B54" s="2" t="s">
        <v>12</v>
      </c>
    </row>
    <row r="60" spans="3:6" ht="12">
      <c r="C60" s="2" t="s">
        <v>13</v>
      </c>
      <c r="F60" s="4">
        <f>'2019 Certified Values'!I53</f>
        <v>3282923660</v>
      </c>
    </row>
    <row r="62" ht="12">
      <c r="C62" s="11" t="s">
        <v>80</v>
      </c>
    </row>
    <row r="63" spans="3:6" ht="12">
      <c r="C63" s="2" t="s">
        <v>15</v>
      </c>
      <c r="F63" s="12">
        <f>'2019 Certified Values'!I57</f>
        <v>3142774720</v>
      </c>
    </row>
    <row r="65" ht="12">
      <c r="C65" s="13" t="s">
        <v>81</v>
      </c>
    </row>
    <row r="66" spans="3:6" ht="15">
      <c r="C66" s="14" t="s">
        <v>16</v>
      </c>
      <c r="F66" s="15">
        <f>'2019 Certified Values'!I69</f>
        <v>2703888336</v>
      </c>
    </row>
    <row r="68" spans="3:6" ht="12">
      <c r="C68" s="3" t="s">
        <v>17</v>
      </c>
      <c r="F68" s="8">
        <f>'2019 Certified Values'!I75</f>
        <v>43417</v>
      </c>
    </row>
    <row r="70" spans="3:6" ht="12">
      <c r="C70" s="3" t="s">
        <v>18</v>
      </c>
      <c r="F70" s="8">
        <f>'2019 Certified Values'!I74</f>
        <v>27163589</v>
      </c>
    </row>
    <row r="72" spans="3:6" ht="12">
      <c r="C72" s="3" t="s">
        <v>151</v>
      </c>
      <c r="F72" s="8">
        <f>'2019 Certified Values'!F70</f>
        <v>150547289</v>
      </c>
    </row>
    <row r="74" spans="3:6" ht="12">
      <c r="C74" s="3" t="s">
        <v>19</v>
      </c>
      <c r="F74" s="7">
        <f>'2019 Certified Values'!F71</f>
        <v>1721434.87</v>
      </c>
    </row>
    <row r="76" spans="3:6" ht="12">
      <c r="C76" s="9" t="s">
        <v>72</v>
      </c>
      <c r="F76" s="65">
        <f>'2019 Certified Values'!I55</f>
        <v>-1509750</v>
      </c>
    </row>
    <row r="84" spans="3:6" ht="12">
      <c r="C84" s="17"/>
      <c r="D84" s="17"/>
      <c r="E84" s="6"/>
      <c r="F84" s="17"/>
    </row>
    <row r="85" spans="3:6" ht="12">
      <c r="C85" s="3" t="s">
        <v>20</v>
      </c>
      <c r="F85" s="3" t="s">
        <v>21</v>
      </c>
    </row>
    <row r="87" spans="3:6" ht="12">
      <c r="C87" s="17"/>
      <c r="D87" s="17"/>
      <c r="E87" s="6"/>
      <c r="F87" s="17"/>
    </row>
    <row r="88" spans="3:6" ht="12">
      <c r="C88" s="3" t="s">
        <v>22</v>
      </c>
      <c r="F88" s="3" t="s">
        <v>21</v>
      </c>
    </row>
    <row r="93" spans="1:8" ht="12.75">
      <c r="A93" s="412" t="s">
        <v>24</v>
      </c>
      <c r="B93" s="412"/>
      <c r="C93" s="412"/>
      <c r="D93" s="412"/>
      <c r="E93" s="412"/>
      <c r="F93" s="412"/>
      <c r="G93" s="412"/>
      <c r="H93" s="412"/>
    </row>
    <row r="94" spans="1:7" ht="12.75">
      <c r="A94" s="412"/>
      <c r="B94" s="412"/>
      <c r="C94" s="412"/>
      <c r="D94" s="412"/>
      <c r="E94" s="412"/>
      <c r="F94" s="412"/>
      <c r="G94" s="412"/>
    </row>
    <row r="96" ht="12">
      <c r="B96" s="2" t="s">
        <v>194</v>
      </c>
    </row>
    <row r="97" ht="12">
      <c r="B97" s="2" t="s">
        <v>10</v>
      </c>
    </row>
    <row r="98" ht="12">
      <c r="B98" s="2" t="s">
        <v>11</v>
      </c>
    </row>
    <row r="99" ht="12">
      <c r="B99" s="2" t="s">
        <v>12</v>
      </c>
    </row>
    <row r="105" spans="3:6" ht="12">
      <c r="C105" s="2" t="s">
        <v>13</v>
      </c>
      <c r="F105" s="12">
        <f>'2019 Certified Values'!I91</f>
        <v>311464550</v>
      </c>
    </row>
    <row r="107" ht="12">
      <c r="C107" s="11" t="s">
        <v>80</v>
      </c>
    </row>
    <row r="108" spans="3:6" ht="12">
      <c r="C108" s="2" t="s">
        <v>15</v>
      </c>
      <c r="F108" s="12">
        <f>'2019 Certified Values'!I95</f>
        <v>223776638</v>
      </c>
    </row>
    <row r="110" ht="12">
      <c r="C110" s="13" t="s">
        <v>81</v>
      </c>
    </row>
    <row r="111" spans="3:6" ht="15">
      <c r="C111" s="14" t="s">
        <v>16</v>
      </c>
      <c r="F111" s="15">
        <f>'2019 Certified Values'!I107</f>
        <v>166509680</v>
      </c>
    </row>
    <row r="113" spans="3:6" ht="12">
      <c r="C113" s="3" t="s">
        <v>17</v>
      </c>
      <c r="F113" s="8">
        <f>'2019 Certified Values'!I113</f>
        <v>7856</v>
      </c>
    </row>
    <row r="115" spans="3:6" ht="12">
      <c r="C115" s="3" t="s">
        <v>18</v>
      </c>
      <c r="F115" s="8">
        <f>'2019 Certified Values'!I112</f>
        <v>5395846</v>
      </c>
    </row>
    <row r="117" spans="3:6" ht="12">
      <c r="C117" s="3" t="s">
        <v>151</v>
      </c>
      <c r="F117" s="8">
        <f>'2019 Certified Values'!F108</f>
        <v>17990852</v>
      </c>
    </row>
    <row r="119" spans="3:6" ht="12">
      <c r="C119" s="3" t="s">
        <v>19</v>
      </c>
      <c r="F119" s="7">
        <f>'2019 Certified Values'!F109</f>
        <v>175397.88</v>
      </c>
    </row>
    <row r="121" spans="3:6" ht="12">
      <c r="C121" s="9" t="s">
        <v>72</v>
      </c>
      <c r="F121" s="12">
        <f>'2019 Certified Values'!I93</f>
        <v>-556762</v>
      </c>
    </row>
    <row r="129" spans="3:6" ht="12">
      <c r="C129" s="17"/>
      <c r="D129" s="17"/>
      <c r="E129" s="6"/>
      <c r="F129" s="17"/>
    </row>
    <row r="130" spans="3:6" ht="12">
      <c r="C130" s="3" t="s">
        <v>20</v>
      </c>
      <c r="F130" s="3" t="s">
        <v>21</v>
      </c>
    </row>
    <row r="132" spans="3:6" ht="12">
      <c r="C132" s="17"/>
      <c r="D132" s="17"/>
      <c r="E132" s="6"/>
      <c r="F132" s="17"/>
    </row>
    <row r="133" spans="3:6" ht="12">
      <c r="C133" s="3" t="s">
        <v>150</v>
      </c>
      <c r="F133" s="3" t="s">
        <v>21</v>
      </c>
    </row>
    <row r="138" spans="1:8" ht="12.75">
      <c r="A138" s="412" t="s">
        <v>25</v>
      </c>
      <c r="B138" s="412"/>
      <c r="C138" s="412"/>
      <c r="D138" s="412"/>
      <c r="E138" s="412"/>
      <c r="F138" s="412"/>
      <c r="G138" s="412"/>
      <c r="H138" s="412"/>
    </row>
    <row r="139" spans="1:7" ht="12.75">
      <c r="A139" s="412"/>
      <c r="B139" s="412"/>
      <c r="C139" s="412"/>
      <c r="D139" s="412"/>
      <c r="E139" s="412"/>
      <c r="F139" s="412"/>
      <c r="G139" s="412"/>
    </row>
    <row r="141" ht="12">
      <c r="B141" s="2" t="s">
        <v>194</v>
      </c>
    </row>
    <row r="142" ht="12">
      <c r="B142" s="2" t="s">
        <v>10</v>
      </c>
    </row>
    <row r="143" ht="12">
      <c r="B143" s="2" t="s">
        <v>11</v>
      </c>
    </row>
    <row r="144" ht="12">
      <c r="B144" s="2" t="s">
        <v>12</v>
      </c>
    </row>
    <row r="150" spans="3:6" ht="12">
      <c r="C150" s="2" t="s">
        <v>13</v>
      </c>
      <c r="F150" s="12">
        <f>'2019 Certified Values'!I129</f>
        <v>373933570</v>
      </c>
    </row>
    <row r="152" ht="12">
      <c r="C152" s="11" t="s">
        <v>80</v>
      </c>
    </row>
    <row r="153" spans="3:6" ht="12">
      <c r="C153" s="2" t="s">
        <v>15</v>
      </c>
      <c r="F153" s="12">
        <f>'2019 Certified Values'!I133</f>
        <v>276138040</v>
      </c>
    </row>
    <row r="155" ht="12">
      <c r="C155" s="13" t="s">
        <v>81</v>
      </c>
    </row>
    <row r="156" spans="3:6" ht="15">
      <c r="C156" s="14" t="s">
        <v>16</v>
      </c>
      <c r="F156" s="15">
        <f>'2019 Certified Values'!I145</f>
        <v>217023657</v>
      </c>
    </row>
    <row r="158" spans="3:6" ht="12">
      <c r="C158" s="3" t="s">
        <v>17</v>
      </c>
      <c r="F158" s="12">
        <f>'2019 Certified Values'!I151</f>
        <v>12322</v>
      </c>
    </row>
    <row r="160" spans="3:6" ht="12">
      <c r="C160" s="3" t="s">
        <v>18</v>
      </c>
      <c r="F160" s="12">
        <f>'2019 Certified Values'!I150</f>
        <v>2849604</v>
      </c>
    </row>
    <row r="162" spans="3:6" ht="12">
      <c r="C162" s="3" t="s">
        <v>61</v>
      </c>
      <c r="F162" s="8">
        <f>'2019 Certified Values'!F146</f>
        <v>19506184</v>
      </c>
    </row>
    <row r="164" spans="3:6" ht="12">
      <c r="C164" s="3" t="s">
        <v>19</v>
      </c>
      <c r="F164" s="7">
        <f>'2019 Certified Values'!F147</f>
        <v>157073.53</v>
      </c>
    </row>
    <row r="166" spans="3:6" ht="12">
      <c r="C166" s="9" t="s">
        <v>72</v>
      </c>
      <c r="F166" s="65">
        <f>'2019 Certified Values'!I131</f>
        <v>-464420</v>
      </c>
    </row>
    <row r="174" spans="3:6" ht="12">
      <c r="C174" s="17"/>
      <c r="D174" s="17"/>
      <c r="E174" s="6"/>
      <c r="F174" s="17"/>
    </row>
    <row r="175" spans="3:6" ht="12">
      <c r="C175" s="3" t="s">
        <v>20</v>
      </c>
      <c r="F175" s="3" t="s">
        <v>21</v>
      </c>
    </row>
    <row r="177" spans="3:6" ht="12">
      <c r="C177" s="17"/>
      <c r="D177" s="17"/>
      <c r="E177" s="6"/>
      <c r="F177" s="17"/>
    </row>
    <row r="178" spans="3:6" ht="12">
      <c r="C178" s="3" t="s">
        <v>22</v>
      </c>
      <c r="F178" s="3" t="s">
        <v>21</v>
      </c>
    </row>
    <row r="183" spans="1:8" ht="12.75">
      <c r="A183" s="412" t="s">
        <v>26</v>
      </c>
      <c r="B183" s="412"/>
      <c r="C183" s="412"/>
      <c r="D183" s="412"/>
      <c r="E183" s="412"/>
      <c r="F183" s="412"/>
      <c r="G183" s="412"/>
      <c r="H183" s="412"/>
    </row>
    <row r="184" spans="1:7" ht="12.75">
      <c r="A184" s="412"/>
      <c r="B184" s="412"/>
      <c r="C184" s="412"/>
      <c r="D184" s="412"/>
      <c r="E184" s="412"/>
      <c r="F184" s="412"/>
      <c r="G184" s="412"/>
    </row>
    <row r="186" ht="12">
      <c r="B186" s="2" t="s">
        <v>194</v>
      </c>
    </row>
    <row r="187" ht="12">
      <c r="B187" s="2" t="s">
        <v>10</v>
      </c>
    </row>
    <row r="188" ht="12">
      <c r="B188" s="2" t="s">
        <v>11</v>
      </c>
    </row>
    <row r="189" ht="12">
      <c r="B189" s="2" t="s">
        <v>12</v>
      </c>
    </row>
    <row r="195" spans="3:6" ht="12">
      <c r="C195" s="2" t="s">
        <v>13</v>
      </c>
      <c r="F195" s="12">
        <f>'2019 Certified Values'!I167</f>
        <v>3763446800</v>
      </c>
    </row>
    <row r="197" ht="12">
      <c r="C197" s="11" t="s">
        <v>80</v>
      </c>
    </row>
    <row r="198" spans="3:6" ht="12">
      <c r="C198" s="2" t="s">
        <v>15</v>
      </c>
      <c r="F198" s="12">
        <f>'2019 Certified Values'!I171</f>
        <v>3535474773</v>
      </c>
    </row>
    <row r="200" ht="12">
      <c r="C200" s="13" t="s">
        <v>81</v>
      </c>
    </row>
    <row r="201" spans="3:6" ht="15">
      <c r="C201" s="14" t="s">
        <v>16</v>
      </c>
      <c r="F201" s="15">
        <f>'2019 Certified Values'!I183</f>
        <v>2638802984</v>
      </c>
    </row>
    <row r="203" spans="3:6" ht="12">
      <c r="C203" s="3" t="s">
        <v>17</v>
      </c>
      <c r="F203" s="8">
        <f>'2019 Certified Values'!I189</f>
        <v>105850</v>
      </c>
    </row>
    <row r="205" spans="3:6" ht="12">
      <c r="C205" s="3" t="s">
        <v>18</v>
      </c>
      <c r="F205" s="8">
        <f>'2019 Certified Values'!I188</f>
        <v>57117071</v>
      </c>
    </row>
    <row r="207" spans="3:6" ht="12">
      <c r="C207" s="3" t="s">
        <v>61</v>
      </c>
      <c r="F207" s="8">
        <f>'2019 Certified Values'!F184</f>
        <v>17708097</v>
      </c>
    </row>
    <row r="209" spans="3:6" ht="12">
      <c r="C209" s="3" t="s">
        <v>19</v>
      </c>
      <c r="F209" s="18">
        <f>'2019 Certified Values'!F185</f>
        <v>1589606.87</v>
      </c>
    </row>
    <row r="211" spans="3:6" ht="12">
      <c r="C211" s="9" t="s">
        <v>72</v>
      </c>
      <c r="F211" s="65">
        <f>'2019 Certified Values'!I169</f>
        <v>-2583907</v>
      </c>
    </row>
    <row r="219" spans="3:6" ht="12">
      <c r="C219" s="17"/>
      <c r="D219" s="17"/>
      <c r="E219" s="6"/>
      <c r="F219" s="17"/>
    </row>
    <row r="220" spans="3:6" ht="12">
      <c r="C220" s="3" t="s">
        <v>20</v>
      </c>
      <c r="F220" s="3" t="s">
        <v>21</v>
      </c>
    </row>
    <row r="222" spans="3:6" ht="12">
      <c r="C222" s="17"/>
      <c r="D222" s="17"/>
      <c r="E222" s="6"/>
      <c r="F222" s="17"/>
    </row>
    <row r="223" spans="3:6" ht="12">
      <c r="C223" s="3" t="s">
        <v>22</v>
      </c>
      <c r="F223" s="9" t="s">
        <v>21</v>
      </c>
    </row>
    <row r="227" spans="1:8" ht="12.75">
      <c r="A227" s="412" t="s">
        <v>163</v>
      </c>
      <c r="B227" s="412"/>
      <c r="C227" s="412"/>
      <c r="D227" s="412"/>
      <c r="E227" s="412"/>
      <c r="F227" s="412"/>
      <c r="G227" s="412"/>
      <c r="H227" s="412"/>
    </row>
    <row r="228" spans="1:7" ht="12.75">
      <c r="A228" s="412"/>
      <c r="B228" s="412"/>
      <c r="C228" s="412"/>
      <c r="D228" s="412"/>
      <c r="E228" s="412"/>
      <c r="F228" s="412"/>
      <c r="G228" s="412"/>
    </row>
    <row r="230" ht="12">
      <c r="B230" s="2" t="s">
        <v>194</v>
      </c>
    </row>
    <row r="231" ht="12">
      <c r="B231" s="2" t="s">
        <v>10</v>
      </c>
    </row>
    <row r="232" ht="12">
      <c r="B232" s="2" t="s">
        <v>11</v>
      </c>
    </row>
    <row r="233" ht="12">
      <c r="B233" s="2" t="s">
        <v>12</v>
      </c>
    </row>
    <row r="239" spans="3:6" ht="12">
      <c r="C239" s="2" t="s">
        <v>13</v>
      </c>
      <c r="F239" s="12">
        <f>'2019 Certified Values'!I205</f>
        <v>16255250</v>
      </c>
    </row>
    <row r="241" ht="12">
      <c r="C241" s="11" t="s">
        <v>80</v>
      </c>
    </row>
    <row r="242" spans="3:6" ht="12">
      <c r="C242" s="2" t="s">
        <v>15</v>
      </c>
      <c r="F242" s="12">
        <f>'2019 Certified Values'!I209</f>
        <v>9144480</v>
      </c>
    </row>
    <row r="244" ht="12">
      <c r="C244" s="13" t="s">
        <v>81</v>
      </c>
    </row>
    <row r="245" spans="3:6" ht="15">
      <c r="C245" s="14" t="s">
        <v>16</v>
      </c>
      <c r="F245" s="15">
        <f>'2019 Certified Values'!I221</f>
        <v>8096980</v>
      </c>
    </row>
    <row r="247" spans="3:6" ht="12">
      <c r="C247" s="3" t="s">
        <v>17</v>
      </c>
      <c r="F247" s="8">
        <f>'2019 Certified Values'!I227</f>
        <v>141</v>
      </c>
    </row>
    <row r="249" spans="3:6" ht="12">
      <c r="C249" s="3" t="s">
        <v>18</v>
      </c>
      <c r="F249" s="8">
        <f>'2019 Certified Values'!I226</f>
        <v>14220</v>
      </c>
    </row>
    <row r="251" spans="3:6" ht="12">
      <c r="C251" s="3" t="s">
        <v>61</v>
      </c>
      <c r="F251" s="5">
        <f>'2019 Certified Values'!F222</f>
        <v>1684180</v>
      </c>
    </row>
    <row r="253" spans="3:6" ht="12">
      <c r="C253" s="3" t="s">
        <v>19</v>
      </c>
      <c r="F253" s="18">
        <f>'2019 Certified Values'!F223</f>
        <v>11778.06</v>
      </c>
    </row>
    <row r="255" spans="3:6" ht="12">
      <c r="C255" s="9" t="s">
        <v>72</v>
      </c>
      <c r="F255" s="12">
        <f>'2019 Certified Values'!I207</f>
        <v>-620</v>
      </c>
    </row>
    <row r="263" spans="3:6" ht="12">
      <c r="C263" s="17"/>
      <c r="D263" s="17"/>
      <c r="E263" s="6"/>
      <c r="F263" s="17"/>
    </row>
    <row r="264" spans="3:6" ht="12">
      <c r="C264" s="3" t="s">
        <v>20</v>
      </c>
      <c r="F264" s="3" t="s">
        <v>21</v>
      </c>
    </row>
    <row r="266" spans="3:6" ht="12">
      <c r="C266" s="17"/>
      <c r="D266" s="17"/>
      <c r="E266" s="6"/>
      <c r="F266" s="17"/>
    </row>
    <row r="267" spans="3:6" ht="12">
      <c r="C267" s="3" t="s">
        <v>22</v>
      </c>
      <c r="F267" s="3" t="s">
        <v>21</v>
      </c>
    </row>
    <row r="273" spans="1:7" ht="12.75">
      <c r="A273" s="214"/>
      <c r="B273" s="214"/>
      <c r="C273" s="214"/>
      <c r="D273" s="214"/>
      <c r="E273" s="214"/>
      <c r="F273" s="214"/>
      <c r="G273" s="214"/>
    </row>
    <row r="274" spans="1:8" ht="12.75">
      <c r="A274" s="412"/>
      <c r="B274" s="412"/>
      <c r="C274" s="412"/>
      <c r="D274" s="412"/>
      <c r="E274" s="412"/>
      <c r="F274" s="412"/>
      <c r="G274" s="412"/>
      <c r="H274" s="412"/>
    </row>
    <row r="275" spans="1:7" ht="12.75">
      <c r="A275" s="214"/>
      <c r="B275" s="214"/>
      <c r="C275" s="214"/>
      <c r="D275" s="214"/>
      <c r="E275" s="214"/>
      <c r="F275" s="214"/>
      <c r="G275" s="214"/>
    </row>
    <row r="276" spans="1:8" ht="12.75">
      <c r="A276" s="412" t="s">
        <v>164</v>
      </c>
      <c r="B276" s="412"/>
      <c r="C276" s="412"/>
      <c r="D276" s="412"/>
      <c r="E276" s="412"/>
      <c r="F276" s="412"/>
      <c r="G276" s="412"/>
      <c r="H276" s="412"/>
    </row>
    <row r="278" ht="12">
      <c r="B278" s="2" t="s">
        <v>194</v>
      </c>
    </row>
    <row r="279" ht="12">
      <c r="B279" s="2" t="s">
        <v>10</v>
      </c>
    </row>
    <row r="280" ht="12">
      <c r="B280" s="2" t="s">
        <v>11</v>
      </c>
    </row>
    <row r="281" ht="12">
      <c r="B281" s="2" t="s">
        <v>12</v>
      </c>
    </row>
    <row r="287" spans="3:6" ht="12">
      <c r="C287" s="2" t="s">
        <v>13</v>
      </c>
      <c r="F287" s="12">
        <f>'2019 Certified Values'!I243</f>
        <v>4231530</v>
      </c>
    </row>
    <row r="289" ht="12">
      <c r="C289" s="11" t="s">
        <v>80</v>
      </c>
    </row>
    <row r="290" spans="3:6" ht="12">
      <c r="C290" s="2" t="s">
        <v>15</v>
      </c>
      <c r="F290" s="12">
        <f>'2019 Certified Values'!I247</f>
        <v>3254370</v>
      </c>
    </row>
    <row r="292" ht="12">
      <c r="C292" s="13" t="s">
        <v>81</v>
      </c>
    </row>
    <row r="293" spans="3:6" ht="15">
      <c r="C293" s="14" t="s">
        <v>16</v>
      </c>
      <c r="F293" s="15">
        <f>'2019 Certified Values'!I259</f>
        <v>2741295</v>
      </c>
    </row>
    <row r="295" spans="3:6" ht="12">
      <c r="C295" s="3" t="s">
        <v>17</v>
      </c>
      <c r="F295" s="8">
        <f>'2019 Certified Values'!I265</f>
        <v>84</v>
      </c>
    </row>
    <row r="297" spans="3:6" ht="12">
      <c r="C297" s="3" t="s">
        <v>18</v>
      </c>
      <c r="F297" s="8">
        <f>'2019 Certified Values'!I264</f>
        <v>0</v>
      </c>
    </row>
    <row r="299" spans="3:6" ht="12">
      <c r="C299" s="3" t="s">
        <v>61</v>
      </c>
      <c r="F299" s="5">
        <f>'2019 Certified Values'!F260</f>
        <v>126229</v>
      </c>
    </row>
    <row r="301" spans="3:6" ht="12">
      <c r="C301" s="3" t="s">
        <v>19</v>
      </c>
      <c r="F301" s="18">
        <f>'2019 Certified Values'!F261</f>
        <v>1199.23</v>
      </c>
    </row>
    <row r="303" spans="3:6" ht="12">
      <c r="C303" s="9" t="s">
        <v>72</v>
      </c>
      <c r="F303" s="12">
        <f>'2019 Certified Values'!I245</f>
        <v>-36570</v>
      </c>
    </row>
    <row r="311" spans="3:6" ht="12">
      <c r="C311" s="17"/>
      <c r="D311" s="17"/>
      <c r="E311" s="6"/>
      <c r="F311" s="17"/>
    </row>
    <row r="312" spans="3:6" ht="12">
      <c r="C312" s="3" t="s">
        <v>20</v>
      </c>
      <c r="F312" s="3" t="s">
        <v>21</v>
      </c>
    </row>
    <row r="314" spans="3:6" ht="12">
      <c r="C314" s="17"/>
      <c r="D314" s="17"/>
      <c r="E314" s="6"/>
      <c r="F314" s="17"/>
    </row>
    <row r="315" spans="3:6" ht="12">
      <c r="C315" s="3" t="s">
        <v>22</v>
      </c>
      <c r="F315" s="3" t="s">
        <v>21</v>
      </c>
    </row>
    <row r="320" spans="1:8" ht="12.75">
      <c r="A320" s="412"/>
      <c r="B320" s="412"/>
      <c r="C320" s="412"/>
      <c r="D320" s="412"/>
      <c r="E320" s="412"/>
      <c r="F320" s="412"/>
      <c r="G320" s="412"/>
      <c r="H320" s="412"/>
    </row>
    <row r="321" spans="1:7" ht="12.75">
      <c r="A321" s="412"/>
      <c r="B321" s="412"/>
      <c r="C321" s="412"/>
      <c r="D321" s="412"/>
      <c r="E321" s="412"/>
      <c r="F321" s="412"/>
      <c r="G321" s="412"/>
    </row>
    <row r="325" spans="1:8" ht="12.75">
      <c r="A325" s="412" t="s">
        <v>27</v>
      </c>
      <c r="B325" s="412"/>
      <c r="C325" s="412"/>
      <c r="D325" s="412"/>
      <c r="E325" s="412"/>
      <c r="F325" s="412"/>
      <c r="G325" s="412"/>
      <c r="H325" s="412"/>
    </row>
    <row r="327" ht="12">
      <c r="B327" s="2" t="s">
        <v>194</v>
      </c>
    </row>
    <row r="328" ht="12">
      <c r="B328" s="2" t="s">
        <v>10</v>
      </c>
    </row>
    <row r="329" ht="12">
      <c r="B329" s="2" t="s">
        <v>11</v>
      </c>
    </row>
    <row r="330" ht="12">
      <c r="B330" s="2" t="s">
        <v>12</v>
      </c>
    </row>
    <row r="332" spans="3:6" ht="12">
      <c r="C332" s="2" t="s">
        <v>13</v>
      </c>
      <c r="F332" s="12">
        <f>'2019 Certified Values'!I281</f>
        <v>513933700</v>
      </c>
    </row>
    <row r="334" ht="12">
      <c r="C334" s="11" t="s">
        <v>80</v>
      </c>
    </row>
    <row r="335" spans="3:6" ht="12">
      <c r="C335" s="2" t="s">
        <v>15</v>
      </c>
      <c r="F335" s="12">
        <f>'2019 Certified Values'!I285</f>
        <v>467521950</v>
      </c>
    </row>
    <row r="337" ht="12">
      <c r="C337" s="13" t="s">
        <v>81</v>
      </c>
    </row>
    <row r="338" spans="3:6" ht="15">
      <c r="C338" s="14" t="s">
        <v>16</v>
      </c>
      <c r="F338" s="15">
        <f>'2019 Certified Values'!I297</f>
        <v>407293544</v>
      </c>
    </row>
    <row r="340" spans="3:6" ht="12">
      <c r="C340" s="3" t="s">
        <v>17</v>
      </c>
      <c r="F340" s="8">
        <f>'2019 Certified Values'!I303</f>
        <v>19775</v>
      </c>
    </row>
    <row r="342" spans="3:6" ht="12">
      <c r="C342" s="3" t="s">
        <v>18</v>
      </c>
      <c r="F342" s="8">
        <f>'2019 Certified Values'!I302</f>
        <v>2048080</v>
      </c>
    </row>
    <row r="344" spans="3:6" ht="12">
      <c r="C344" s="3" t="s">
        <v>61</v>
      </c>
      <c r="F344" s="5">
        <f>'2019 Certified Values'!F298</f>
        <v>17971031</v>
      </c>
    </row>
    <row r="346" spans="3:6" ht="12">
      <c r="C346" s="3" t="s">
        <v>19</v>
      </c>
      <c r="F346" s="18">
        <f>'2019 Certified Values'!F299</f>
        <v>172138.53</v>
      </c>
    </row>
    <row r="348" spans="3:6" ht="12">
      <c r="C348" s="9" t="s">
        <v>72</v>
      </c>
      <c r="F348" s="12">
        <f>'2019 Certified Values'!I283</f>
        <v>-133640</v>
      </c>
    </row>
    <row r="356" spans="3:6" ht="12">
      <c r="C356" s="17"/>
      <c r="D356" s="17"/>
      <c r="E356" s="6"/>
      <c r="F356" s="17"/>
    </row>
    <row r="357" spans="3:6" ht="12">
      <c r="C357" s="3" t="s">
        <v>20</v>
      </c>
      <c r="F357" s="3" t="s">
        <v>21</v>
      </c>
    </row>
    <row r="359" spans="3:6" ht="12">
      <c r="C359" s="17"/>
      <c r="D359" s="17"/>
      <c r="E359" s="6"/>
      <c r="F359" s="17"/>
    </row>
    <row r="360" spans="3:6" ht="12">
      <c r="C360" s="3" t="s">
        <v>22</v>
      </c>
      <c r="F360" s="3" t="s">
        <v>21</v>
      </c>
    </row>
    <row r="365" spans="1:8" ht="12.75">
      <c r="A365" s="412" t="s">
        <v>28</v>
      </c>
      <c r="B365" s="412"/>
      <c r="C365" s="412"/>
      <c r="D365" s="412"/>
      <c r="E365" s="412"/>
      <c r="F365" s="412"/>
      <c r="G365" s="412"/>
      <c r="H365" s="412"/>
    </row>
    <row r="366" spans="2:7" ht="12">
      <c r="B366" s="1"/>
      <c r="C366" s="1"/>
      <c r="D366" s="1"/>
      <c r="E366" s="1"/>
      <c r="F366" s="1"/>
      <c r="G366" s="1"/>
    </row>
    <row r="368" ht="12">
      <c r="B368" s="2" t="s">
        <v>194</v>
      </c>
    </row>
    <row r="369" ht="12">
      <c r="B369" s="2" t="s">
        <v>10</v>
      </c>
    </row>
    <row r="370" ht="12">
      <c r="B370" s="2" t="s">
        <v>11</v>
      </c>
    </row>
    <row r="371" ht="12">
      <c r="B371" s="2" t="s">
        <v>12</v>
      </c>
    </row>
    <row r="377" spans="3:6" ht="12">
      <c r="C377" s="2" t="s">
        <v>13</v>
      </c>
      <c r="F377" s="12">
        <f>'2019 Certified Values'!I395</f>
        <v>286786030</v>
      </c>
    </row>
    <row r="379" ht="12">
      <c r="C379" s="11" t="s">
        <v>80</v>
      </c>
    </row>
    <row r="380" spans="3:6" ht="12">
      <c r="C380" s="2" t="s">
        <v>15</v>
      </c>
      <c r="F380" s="12">
        <f>'2019 Certified Values'!I399</f>
        <v>284879990</v>
      </c>
    </row>
    <row r="382" ht="12">
      <c r="C382" s="13" t="s">
        <v>81</v>
      </c>
    </row>
    <row r="383" spans="3:6" ht="15">
      <c r="C383" s="14" t="s">
        <v>16</v>
      </c>
      <c r="F383" s="15">
        <f>'2019 Certified Values'!I411</f>
        <v>240244657</v>
      </c>
    </row>
    <row r="385" spans="3:6" ht="12">
      <c r="C385" s="3" t="s">
        <v>17</v>
      </c>
      <c r="F385" s="8">
        <f>'2019 Certified Values'!I417</f>
        <v>1879</v>
      </c>
    </row>
    <row r="387" spans="3:6" ht="12">
      <c r="C387" s="3" t="s">
        <v>18</v>
      </c>
      <c r="F387" s="8">
        <f>'2019 Certified Values'!I416</f>
        <v>1656670</v>
      </c>
    </row>
    <row r="389" spans="3:6" ht="12">
      <c r="C389" s="9" t="s">
        <v>72</v>
      </c>
      <c r="F389" s="12">
        <f>'2019 Certified Values'!I397</f>
        <v>-91900</v>
      </c>
    </row>
    <row r="390" ht="12">
      <c r="F390" s="5"/>
    </row>
    <row r="391" spans="3:6" ht="12">
      <c r="C391" s="9"/>
      <c r="F391" s="65"/>
    </row>
    <row r="392" ht="12">
      <c r="F392" s="5"/>
    </row>
    <row r="393" spans="3:6" ht="12">
      <c r="C393" s="9"/>
      <c r="F393" s="65"/>
    </row>
    <row r="401" spans="3:6" ht="12">
      <c r="C401" s="17"/>
      <c r="D401" s="17"/>
      <c r="E401" s="6"/>
      <c r="F401" s="17"/>
    </row>
    <row r="402" spans="3:6" ht="12">
      <c r="C402" s="3" t="s">
        <v>20</v>
      </c>
      <c r="F402" s="3" t="s">
        <v>21</v>
      </c>
    </row>
    <row r="404" spans="3:6" ht="12">
      <c r="C404" s="17"/>
      <c r="D404" s="17"/>
      <c r="E404" s="6"/>
      <c r="F404" s="17"/>
    </row>
    <row r="405" spans="3:6" ht="12">
      <c r="C405" s="3" t="s">
        <v>22</v>
      </c>
      <c r="F405" s="3" t="s">
        <v>21</v>
      </c>
    </row>
    <row r="406" spans="3:6" ht="12">
      <c r="C406" s="3"/>
      <c r="F406" s="3"/>
    </row>
    <row r="407" spans="3:6" ht="12">
      <c r="C407" s="3"/>
      <c r="F407" s="3"/>
    </row>
    <row r="410" spans="1:8" ht="12.75">
      <c r="A410" s="412" t="s">
        <v>165</v>
      </c>
      <c r="B410" s="412"/>
      <c r="C410" s="412"/>
      <c r="D410" s="412"/>
      <c r="E410" s="412"/>
      <c r="F410" s="412"/>
      <c r="G410" s="412"/>
      <c r="H410" s="412"/>
    </row>
    <row r="413" ht="12">
      <c r="B413" s="2" t="s">
        <v>194</v>
      </c>
    </row>
    <row r="414" ht="12">
      <c r="B414" s="2" t="s">
        <v>10</v>
      </c>
    </row>
    <row r="415" ht="12">
      <c r="B415" s="2" t="s">
        <v>11</v>
      </c>
    </row>
    <row r="416" ht="12">
      <c r="B416" s="2" t="s">
        <v>12</v>
      </c>
    </row>
    <row r="422" spans="3:6" ht="12">
      <c r="C422" s="2" t="s">
        <v>13</v>
      </c>
      <c r="F422" s="12">
        <f>'2019 Certified Values'!I433</f>
        <v>0</v>
      </c>
    </row>
    <row r="424" ht="12">
      <c r="C424" s="11" t="s">
        <v>80</v>
      </c>
    </row>
    <row r="425" spans="3:6" ht="12">
      <c r="C425" s="2" t="s">
        <v>15</v>
      </c>
      <c r="F425" s="12">
        <f>'2019 Certified Values'!I437</f>
        <v>0</v>
      </c>
    </row>
    <row r="427" ht="12">
      <c r="C427" s="13" t="s">
        <v>81</v>
      </c>
    </row>
    <row r="428" spans="3:6" ht="15">
      <c r="C428" s="14" t="s">
        <v>16</v>
      </c>
      <c r="F428" s="15">
        <f>'2019 Certified Values'!I449</f>
        <v>0</v>
      </c>
    </row>
    <row r="430" spans="3:6" ht="12">
      <c r="C430" s="3" t="s">
        <v>17</v>
      </c>
      <c r="F430" s="8">
        <f>'2019 Certified Values'!I455</f>
        <v>0</v>
      </c>
    </row>
    <row r="432" spans="3:6" ht="12">
      <c r="C432" s="3" t="s">
        <v>18</v>
      </c>
      <c r="F432" s="8">
        <f>'2019 Certified Values'!I454</f>
        <v>0</v>
      </c>
    </row>
    <row r="434" spans="3:6" ht="12">
      <c r="C434" s="9" t="s">
        <v>72</v>
      </c>
      <c r="F434" s="12">
        <f>'2019 Certified Values'!I435</f>
        <v>0</v>
      </c>
    </row>
    <row r="435" ht="12">
      <c r="F435" s="5"/>
    </row>
    <row r="436" spans="3:6" ht="12">
      <c r="C436" s="9"/>
      <c r="F436" s="65"/>
    </row>
    <row r="437" ht="12">
      <c r="F437" s="5"/>
    </row>
    <row r="438" spans="3:6" ht="12">
      <c r="C438" s="9"/>
      <c r="F438" s="65"/>
    </row>
    <row r="446" spans="3:6" ht="12">
      <c r="C446" s="17"/>
      <c r="D446" s="17"/>
      <c r="E446" s="6"/>
      <c r="F446" s="17"/>
    </row>
    <row r="447" spans="3:6" ht="12">
      <c r="C447" s="3" t="s">
        <v>20</v>
      </c>
      <c r="F447" s="3" t="s">
        <v>21</v>
      </c>
    </row>
    <row r="449" spans="3:6" ht="12">
      <c r="C449" s="17"/>
      <c r="D449" s="17"/>
      <c r="E449" s="6"/>
      <c r="F449" s="17"/>
    </row>
    <row r="450" spans="3:6" ht="12">
      <c r="C450" s="3" t="s">
        <v>22</v>
      </c>
      <c r="F450" s="3" t="s">
        <v>21</v>
      </c>
    </row>
    <row r="456" spans="1:8" ht="12.75">
      <c r="A456" s="412"/>
      <c r="B456" s="412"/>
      <c r="C456" s="412"/>
      <c r="D456" s="412"/>
      <c r="E456" s="412"/>
      <c r="F456" s="412"/>
      <c r="G456" s="412"/>
      <c r="H456" s="412"/>
    </row>
    <row r="457" spans="2:7" ht="12">
      <c r="B457" s="1"/>
      <c r="C457" s="1"/>
      <c r="D457" s="1"/>
      <c r="E457" s="1"/>
      <c r="F457" s="1"/>
      <c r="G457" s="1"/>
    </row>
    <row r="459" spans="1:8" ht="12.75">
      <c r="A459" s="282"/>
      <c r="B459" s="282"/>
      <c r="C459" s="282"/>
      <c r="D459" s="282"/>
      <c r="E459" s="75" t="s">
        <v>6</v>
      </c>
      <c r="F459" s="282"/>
      <c r="G459" s="282"/>
      <c r="H459" s="282"/>
    </row>
    <row r="461" ht="12">
      <c r="B461" s="2" t="s">
        <v>194</v>
      </c>
    </row>
    <row r="462" ht="12">
      <c r="B462" s="2" t="s">
        <v>10</v>
      </c>
    </row>
    <row r="463" ht="12">
      <c r="B463" s="2" t="s">
        <v>11</v>
      </c>
    </row>
    <row r="464" ht="12">
      <c r="B464" s="2" t="s">
        <v>12</v>
      </c>
    </row>
    <row r="468" spans="3:6" ht="12">
      <c r="C468" s="2" t="s">
        <v>13</v>
      </c>
      <c r="F468" s="12">
        <f>'2019 Certified Values'!I357</f>
        <v>0</v>
      </c>
    </row>
    <row r="470" ht="12">
      <c r="C470" s="11" t="s">
        <v>80</v>
      </c>
    </row>
    <row r="471" spans="3:6" ht="12">
      <c r="C471" s="2" t="s">
        <v>15</v>
      </c>
      <c r="F471" s="12">
        <f>'2019 Certified Values'!I361</f>
        <v>0</v>
      </c>
    </row>
    <row r="473" ht="12">
      <c r="C473" s="13" t="s">
        <v>81</v>
      </c>
    </row>
    <row r="474" spans="3:6" ht="15">
      <c r="C474" s="14" t="s">
        <v>16</v>
      </c>
      <c r="F474" s="15">
        <f>'2019 Certified Values'!I373</f>
        <v>0</v>
      </c>
    </row>
    <row r="476" spans="3:6" ht="12">
      <c r="C476" s="3" t="s">
        <v>17</v>
      </c>
      <c r="F476" s="8">
        <f>'2019 Certified Values'!I379</f>
        <v>0</v>
      </c>
    </row>
    <row r="478" spans="3:6" ht="12">
      <c r="C478" s="3" t="s">
        <v>18</v>
      </c>
      <c r="F478" s="8">
        <f>'2019 Certified Values'!I378</f>
        <v>0</v>
      </c>
    </row>
    <row r="480" spans="3:6" ht="12">
      <c r="C480" s="9" t="s">
        <v>72</v>
      </c>
      <c r="F480" s="12">
        <f>'2019 Certified Values'!I359</f>
        <v>0</v>
      </c>
    </row>
    <row r="492" spans="3:6" ht="12">
      <c r="C492" s="17"/>
      <c r="D492" s="17"/>
      <c r="E492" s="6"/>
      <c r="F492" s="17"/>
    </row>
    <row r="493" spans="3:6" ht="12">
      <c r="C493" s="3" t="s">
        <v>20</v>
      </c>
      <c r="F493" s="3" t="s">
        <v>21</v>
      </c>
    </row>
    <row r="495" spans="3:6" ht="12">
      <c r="C495" s="17"/>
      <c r="D495" s="17"/>
      <c r="E495" s="6"/>
      <c r="F495" s="17"/>
    </row>
    <row r="496" spans="3:6" ht="12">
      <c r="C496" s="3" t="s">
        <v>22</v>
      </c>
      <c r="F496" s="9" t="s">
        <v>21</v>
      </c>
    </row>
    <row r="501" spans="1:8" ht="12.75">
      <c r="A501" s="412" t="s">
        <v>30</v>
      </c>
      <c r="B501" s="412"/>
      <c r="C501" s="412"/>
      <c r="D501" s="412"/>
      <c r="E501" s="412"/>
      <c r="F501" s="412"/>
      <c r="G501" s="412"/>
      <c r="H501" s="412"/>
    </row>
    <row r="502" spans="2:7" ht="12">
      <c r="B502" s="1"/>
      <c r="C502" s="1"/>
      <c r="D502" s="1"/>
      <c r="E502" s="1"/>
      <c r="F502" s="1"/>
      <c r="G502" s="1"/>
    </row>
    <row r="504" ht="12">
      <c r="B504" s="2" t="s">
        <v>194</v>
      </c>
    </row>
    <row r="505" ht="12">
      <c r="B505" s="2" t="s">
        <v>10</v>
      </c>
    </row>
    <row r="506" ht="12">
      <c r="B506" s="2" t="s">
        <v>11</v>
      </c>
    </row>
    <row r="507" ht="12">
      <c r="B507" s="2" t="s">
        <v>12</v>
      </c>
    </row>
    <row r="513" spans="3:6" ht="12">
      <c r="C513" s="2" t="s">
        <v>13</v>
      </c>
      <c r="F513" s="12">
        <f>'2019 Certified Values'!I471</f>
        <v>0</v>
      </c>
    </row>
    <row r="515" ht="12">
      <c r="C515" s="11" t="s">
        <v>80</v>
      </c>
    </row>
    <row r="516" spans="3:6" ht="12">
      <c r="C516" s="2" t="s">
        <v>15</v>
      </c>
      <c r="F516" s="12">
        <f>'2019 Certified Values'!I475</f>
        <v>0</v>
      </c>
    </row>
    <row r="518" ht="12">
      <c r="C518" s="13" t="s">
        <v>81</v>
      </c>
    </row>
    <row r="519" spans="3:6" ht="15">
      <c r="C519" s="14" t="s">
        <v>16</v>
      </c>
      <c r="F519" s="15">
        <f>'2019 Certified Values'!I487</f>
        <v>0</v>
      </c>
    </row>
    <row r="521" spans="3:6" ht="12">
      <c r="C521" s="3" t="s">
        <v>17</v>
      </c>
      <c r="F521" s="8">
        <f>'2019 Certified Values'!I493</f>
        <v>0</v>
      </c>
    </row>
    <row r="523" spans="3:6" ht="12">
      <c r="C523" s="3" t="s">
        <v>18</v>
      </c>
      <c r="F523" s="8">
        <f>'2019 Certified Values'!I492</f>
        <v>0</v>
      </c>
    </row>
    <row r="525" spans="3:6" ht="12">
      <c r="C525" s="9" t="s">
        <v>72</v>
      </c>
      <c r="F525" s="12">
        <f>'2019 Certified Values'!I473</f>
        <v>0</v>
      </c>
    </row>
    <row r="537" spans="3:6" ht="12">
      <c r="C537" s="17"/>
      <c r="D537" s="17"/>
      <c r="E537" s="6"/>
      <c r="F537" s="17"/>
    </row>
    <row r="538" spans="3:6" ht="12">
      <c r="C538" s="3" t="s">
        <v>20</v>
      </c>
      <c r="F538" s="3" t="s">
        <v>21</v>
      </c>
    </row>
    <row r="540" spans="3:6" ht="12">
      <c r="C540" s="17"/>
      <c r="D540" s="17"/>
      <c r="E540" s="6"/>
      <c r="F540" s="17"/>
    </row>
    <row r="541" spans="3:6" ht="12">
      <c r="C541" s="3" t="s">
        <v>22</v>
      </c>
      <c r="F541" s="3" t="s">
        <v>21</v>
      </c>
    </row>
    <row r="546" spans="1:8" ht="12.75">
      <c r="A546" s="412" t="s">
        <v>31</v>
      </c>
      <c r="B546" s="412"/>
      <c r="C546" s="412"/>
      <c r="D546" s="412"/>
      <c r="E546" s="412"/>
      <c r="F546" s="412"/>
      <c r="G546" s="412"/>
      <c r="H546" s="412"/>
    </row>
    <row r="547" spans="2:7" ht="12">
      <c r="B547" s="1"/>
      <c r="C547" s="1"/>
      <c r="D547" s="1"/>
      <c r="E547" s="1"/>
      <c r="F547" s="1"/>
      <c r="G547" s="1"/>
    </row>
    <row r="549" ht="12">
      <c r="B549" s="2" t="s">
        <v>194</v>
      </c>
    </row>
    <row r="550" ht="12">
      <c r="B550" s="2" t="s">
        <v>10</v>
      </c>
    </row>
    <row r="551" ht="12">
      <c r="B551" s="2" t="s">
        <v>11</v>
      </c>
    </row>
    <row r="552" ht="12">
      <c r="B552" s="2" t="s">
        <v>12</v>
      </c>
    </row>
    <row r="558" spans="3:6" ht="12">
      <c r="C558" s="2" t="s">
        <v>13</v>
      </c>
      <c r="F558" s="12">
        <f>'2019 Certified Values'!I319</f>
        <v>8659181810</v>
      </c>
    </row>
    <row r="560" ht="12">
      <c r="C560" s="11" t="s">
        <v>80</v>
      </c>
    </row>
    <row r="561" spans="3:6" ht="12">
      <c r="C561" s="2" t="s">
        <v>15</v>
      </c>
      <c r="F561" s="12">
        <f>'2019 Certified Values'!I323</f>
        <v>8001366031</v>
      </c>
    </row>
    <row r="563" ht="12">
      <c r="C563" s="13" t="s">
        <v>81</v>
      </c>
    </row>
    <row r="564" spans="3:6" ht="15">
      <c r="C564" s="14" t="s">
        <v>16</v>
      </c>
      <c r="F564" s="15">
        <f>'2019 Certified Values'!I335</f>
        <v>6637326104</v>
      </c>
    </row>
    <row r="566" spans="3:6" ht="12">
      <c r="C566" s="3" t="s">
        <v>17</v>
      </c>
      <c r="F566" s="8">
        <f>'2019 Certified Values'!I341</f>
        <v>201782</v>
      </c>
    </row>
    <row r="568" spans="3:6" ht="12">
      <c r="C568" s="3" t="s">
        <v>18</v>
      </c>
      <c r="F568" s="8">
        <f>'2019 Certified Values'!H340</f>
        <v>59020876</v>
      </c>
    </row>
    <row r="570" spans="3:6" ht="12">
      <c r="C570" s="9" t="s">
        <v>72</v>
      </c>
      <c r="F570" s="12">
        <f>'2019 Certified Values'!I321</f>
        <v>-5527579</v>
      </c>
    </row>
    <row r="572" spans="3:6" ht="12">
      <c r="C572" s="9"/>
      <c r="F572" s="65"/>
    </row>
    <row r="573" ht="12">
      <c r="F573" s="65"/>
    </row>
    <row r="574" spans="3:6" ht="12">
      <c r="C574" s="9"/>
      <c r="F574" s="65"/>
    </row>
    <row r="575" ht="12">
      <c r="F575" s="65"/>
    </row>
    <row r="576" spans="3:6" ht="12">
      <c r="C576" s="9"/>
      <c r="F576" s="65"/>
    </row>
    <row r="582" spans="3:6" ht="12">
      <c r="C582" s="79"/>
      <c r="D582" s="17"/>
      <c r="E582" s="6"/>
      <c r="F582" s="17"/>
    </row>
    <row r="583" spans="3:6" ht="12">
      <c r="C583" s="6" t="s">
        <v>20</v>
      </c>
      <c r="F583" s="6" t="s">
        <v>21</v>
      </c>
    </row>
    <row r="585" spans="3:6" ht="12">
      <c r="C585" s="79"/>
      <c r="D585" s="17"/>
      <c r="E585" s="6"/>
      <c r="F585" s="79"/>
    </row>
    <row r="586" spans="3:6" ht="12">
      <c r="C586" s="6" t="s">
        <v>22</v>
      </c>
      <c r="F586" s="6" t="s">
        <v>21</v>
      </c>
    </row>
    <row r="591" spans="1:8" ht="12.75">
      <c r="A591" s="412" t="s">
        <v>91</v>
      </c>
      <c r="B591" s="412"/>
      <c r="C591" s="412"/>
      <c r="D591" s="412"/>
      <c r="E591" s="412"/>
      <c r="F591" s="412"/>
      <c r="G591" s="412"/>
      <c r="H591" s="412"/>
    </row>
    <row r="592" spans="2:7" ht="12">
      <c r="B592" s="1"/>
      <c r="C592" s="1"/>
      <c r="D592" s="1"/>
      <c r="E592" s="1"/>
      <c r="F592" s="1"/>
      <c r="G592" s="1"/>
    </row>
    <row r="594" ht="12">
      <c r="B594" s="2" t="s">
        <v>194</v>
      </c>
    </row>
    <row r="595" ht="12">
      <c r="B595" s="2" t="s">
        <v>10</v>
      </c>
    </row>
    <row r="596" ht="12">
      <c r="B596" s="2" t="s">
        <v>11</v>
      </c>
    </row>
    <row r="597" ht="12">
      <c r="B597" s="2" t="s">
        <v>12</v>
      </c>
    </row>
    <row r="603" spans="3:6" ht="12">
      <c r="C603" s="2" t="s">
        <v>13</v>
      </c>
      <c r="F603" s="12">
        <f>'2019 Certified Values'!I585</f>
        <v>0</v>
      </c>
    </row>
    <row r="605" ht="12">
      <c r="C605" s="11" t="s">
        <v>80</v>
      </c>
    </row>
    <row r="606" spans="3:6" ht="12">
      <c r="C606" s="2" t="s">
        <v>15</v>
      </c>
      <c r="F606" s="12">
        <f>'2019 Certified Values'!I589</f>
        <v>0</v>
      </c>
    </row>
    <row r="608" ht="12">
      <c r="C608" s="13" t="s">
        <v>81</v>
      </c>
    </row>
    <row r="609" spans="3:6" ht="15">
      <c r="C609" s="14" t="s">
        <v>16</v>
      </c>
      <c r="F609" s="15">
        <f>'2019 Certified Values'!I601</f>
        <v>0</v>
      </c>
    </row>
    <row r="611" spans="3:6" ht="12">
      <c r="C611" s="3" t="s">
        <v>17</v>
      </c>
      <c r="F611" s="8">
        <f>'2019 Certified Values'!I607</f>
        <v>0</v>
      </c>
    </row>
    <row r="613" spans="3:6" ht="12">
      <c r="C613" s="3" t="s">
        <v>18</v>
      </c>
      <c r="F613" s="8">
        <f>'2019 Certified Values'!I606</f>
        <v>0</v>
      </c>
    </row>
    <row r="615" spans="3:6" ht="12">
      <c r="C615" s="9" t="s">
        <v>72</v>
      </c>
      <c r="F615" s="12">
        <f>'2019 Certified Values'!I587</f>
        <v>0</v>
      </c>
    </row>
    <row r="616" ht="12">
      <c r="F616" s="65"/>
    </row>
    <row r="617" spans="3:6" ht="12">
      <c r="C617" s="9"/>
      <c r="F617" s="65"/>
    </row>
    <row r="618" ht="12">
      <c r="F618" s="65"/>
    </row>
    <row r="619" spans="3:6" ht="12">
      <c r="C619" s="9"/>
      <c r="F619" s="65"/>
    </row>
    <row r="621" spans="3:6" ht="12">
      <c r="C621" s="9"/>
      <c r="F621" s="12"/>
    </row>
    <row r="627" spans="3:6" ht="12">
      <c r="C627" s="17"/>
      <c r="D627" s="17"/>
      <c r="E627" s="6"/>
      <c r="F627" s="17"/>
    </row>
    <row r="628" spans="3:6" ht="12">
      <c r="C628" s="3" t="s">
        <v>20</v>
      </c>
      <c r="F628" s="3" t="s">
        <v>21</v>
      </c>
    </row>
    <row r="630" spans="3:6" ht="12">
      <c r="C630" s="17"/>
      <c r="D630" s="17"/>
      <c r="E630" s="6"/>
      <c r="F630" s="17"/>
    </row>
    <row r="631" spans="3:6" ht="12">
      <c r="C631" s="3" t="s">
        <v>22</v>
      </c>
      <c r="F631" s="3" t="s">
        <v>21</v>
      </c>
    </row>
    <row r="636" spans="1:8" ht="12.75">
      <c r="A636" s="412" t="s">
        <v>90</v>
      </c>
      <c r="B636" s="412"/>
      <c r="C636" s="412"/>
      <c r="D636" s="412"/>
      <c r="E636" s="412"/>
      <c r="F636" s="412"/>
      <c r="G636" s="412"/>
      <c r="H636" s="412"/>
    </row>
    <row r="637" spans="2:7" ht="12">
      <c r="B637" s="1"/>
      <c r="C637" s="1"/>
      <c r="D637" s="1"/>
      <c r="E637" s="1"/>
      <c r="F637" s="1"/>
      <c r="G637" s="1"/>
    </row>
    <row r="639" ht="12">
      <c r="B639" s="2" t="s">
        <v>194</v>
      </c>
    </row>
    <row r="640" ht="12">
      <c r="B640" s="2" t="s">
        <v>10</v>
      </c>
    </row>
    <row r="641" ht="12">
      <c r="B641" s="2" t="s">
        <v>11</v>
      </c>
    </row>
    <row r="642" ht="12">
      <c r="B642" s="2" t="s">
        <v>12</v>
      </c>
    </row>
    <row r="648" spans="3:6" ht="12">
      <c r="C648" s="2" t="s">
        <v>13</v>
      </c>
      <c r="F648" s="12">
        <f>'2019 Certified Values'!I623</f>
        <v>0</v>
      </c>
    </row>
    <row r="650" ht="12">
      <c r="C650" s="11" t="s">
        <v>80</v>
      </c>
    </row>
    <row r="651" spans="3:6" ht="12">
      <c r="C651" s="2" t="s">
        <v>15</v>
      </c>
      <c r="F651" s="12">
        <f>'2019 Certified Values'!I627</f>
        <v>0</v>
      </c>
    </row>
    <row r="653" ht="12">
      <c r="C653" s="13" t="s">
        <v>81</v>
      </c>
    </row>
    <row r="654" spans="3:6" ht="15">
      <c r="C654" s="14" t="s">
        <v>16</v>
      </c>
      <c r="F654" s="15">
        <f>'2019 Certified Values'!I639</f>
        <v>0</v>
      </c>
    </row>
    <row r="656" spans="3:6" ht="12">
      <c r="C656" s="3" t="s">
        <v>17</v>
      </c>
      <c r="F656" s="8">
        <f>'2019 Certified Values'!I645</f>
        <v>0</v>
      </c>
    </row>
    <row r="658" spans="3:6" ht="12">
      <c r="C658" s="3" t="s">
        <v>18</v>
      </c>
      <c r="F658" s="8">
        <f>'2019 Certified Values'!I644</f>
        <v>0</v>
      </c>
    </row>
    <row r="660" spans="3:6" ht="12">
      <c r="C660" s="9" t="s">
        <v>72</v>
      </c>
      <c r="F660" s="12">
        <f>'2019 Certified Values'!I625</f>
        <v>0</v>
      </c>
    </row>
    <row r="661" ht="12">
      <c r="F661" s="65"/>
    </row>
    <row r="662" spans="3:6" ht="12">
      <c r="C662" s="9"/>
      <c r="F662" s="65"/>
    </row>
    <row r="663" ht="12">
      <c r="F663" s="65"/>
    </row>
    <row r="664" spans="3:6" ht="12">
      <c r="C664" s="9"/>
      <c r="F664" s="65"/>
    </row>
    <row r="665" ht="12">
      <c r="F665" s="5"/>
    </row>
    <row r="666" ht="12">
      <c r="F666" s="12"/>
    </row>
    <row r="669" ht="12">
      <c r="K669" s="239"/>
    </row>
    <row r="670" ht="12">
      <c r="K670" s="241"/>
    </row>
    <row r="672" spans="3:6" ht="12">
      <c r="C672" s="17"/>
      <c r="D672" s="17"/>
      <c r="E672" s="6"/>
      <c r="F672" s="17"/>
    </row>
    <row r="673" spans="3:6" ht="12">
      <c r="C673" s="3" t="s">
        <v>20</v>
      </c>
      <c r="F673" s="3" t="s">
        <v>21</v>
      </c>
    </row>
    <row r="675" spans="3:6" ht="12">
      <c r="C675" s="17"/>
      <c r="D675" s="17"/>
      <c r="E675" s="6"/>
      <c r="F675" s="17"/>
    </row>
    <row r="676" spans="3:6" ht="12">
      <c r="C676" s="6" t="s">
        <v>22</v>
      </c>
      <c r="D676" s="6"/>
      <c r="E676" s="6"/>
      <c r="F676" s="6" t="s">
        <v>21</v>
      </c>
    </row>
    <row r="677" spans="3:7" ht="12">
      <c r="C677" s="6"/>
      <c r="D677" s="6"/>
      <c r="E677" s="239"/>
      <c r="G677" s="240"/>
    </row>
    <row r="678" spans="5:7" ht="12">
      <c r="E678" s="240"/>
      <c r="G678" s="240"/>
    </row>
    <row r="679" ht="12">
      <c r="F679" s="82"/>
    </row>
    <row r="681" spans="1:8" ht="12.75">
      <c r="A681" s="412" t="s">
        <v>89</v>
      </c>
      <c r="B681" s="412"/>
      <c r="C681" s="412"/>
      <c r="D681" s="412"/>
      <c r="E681" s="412"/>
      <c r="F681" s="412"/>
      <c r="G681" s="412"/>
      <c r="H681" s="412"/>
    </row>
    <row r="682" spans="2:7" ht="12">
      <c r="B682" s="1"/>
      <c r="C682" s="1"/>
      <c r="D682" s="1"/>
      <c r="E682" s="1"/>
      <c r="F682" s="1"/>
      <c r="G682" s="1"/>
    </row>
    <row r="684" ht="12">
      <c r="B684" s="2" t="s">
        <v>194</v>
      </c>
    </row>
    <row r="685" ht="12">
      <c r="B685" s="2" t="s">
        <v>10</v>
      </c>
    </row>
    <row r="686" ht="12">
      <c r="B686" s="2" t="s">
        <v>11</v>
      </c>
    </row>
    <row r="687" ht="12">
      <c r="B687" s="2" t="s">
        <v>12</v>
      </c>
    </row>
    <row r="693" spans="3:6" ht="12">
      <c r="C693" s="2" t="s">
        <v>13</v>
      </c>
      <c r="F693" s="12">
        <f>'2019 Certified Values'!I547</f>
        <v>253454260</v>
      </c>
    </row>
    <row r="695" ht="12">
      <c r="C695" s="11" t="s">
        <v>80</v>
      </c>
    </row>
    <row r="696" spans="3:6" ht="12">
      <c r="C696" s="2" t="s">
        <v>15</v>
      </c>
      <c r="F696" s="12">
        <f>'2019 Certified Values'!I551</f>
        <v>200552820</v>
      </c>
    </row>
    <row r="698" ht="12">
      <c r="C698" s="13" t="s">
        <v>81</v>
      </c>
    </row>
    <row r="699" spans="3:6" ht="15">
      <c r="C699" s="14" t="s">
        <v>16</v>
      </c>
      <c r="F699" s="15">
        <f>'2019 Certified Values'!I563</f>
        <v>180411525</v>
      </c>
    </row>
    <row r="701" spans="3:6" ht="12">
      <c r="C701" s="3" t="s">
        <v>17</v>
      </c>
      <c r="F701" s="8">
        <f>'2019 Certified Values'!I569</f>
        <v>14698</v>
      </c>
    </row>
    <row r="703" spans="3:6" ht="12">
      <c r="C703" s="3" t="s">
        <v>18</v>
      </c>
      <c r="F703" s="8">
        <f>'2019 Certified Values'!I568</f>
        <v>1277646</v>
      </c>
    </row>
    <row r="705" spans="3:6" ht="12">
      <c r="C705" s="9" t="s">
        <v>72</v>
      </c>
      <c r="F705" s="12">
        <f>'2019 Certified Values'!I549</f>
        <v>-244460</v>
      </c>
    </row>
    <row r="706" ht="12">
      <c r="F706" s="65"/>
    </row>
    <row r="707" spans="3:6" ht="12">
      <c r="C707" s="9"/>
      <c r="F707" s="65"/>
    </row>
    <row r="708" ht="12">
      <c r="F708" s="65"/>
    </row>
    <row r="709" spans="3:6" ht="12">
      <c r="C709" s="9"/>
      <c r="F709" s="65"/>
    </row>
    <row r="711" ht="12">
      <c r="F711" s="12"/>
    </row>
    <row r="717" spans="3:6" ht="12">
      <c r="C717" s="17"/>
      <c r="D717" s="17"/>
      <c r="E717" s="6"/>
      <c r="F717" s="17"/>
    </row>
    <row r="718" spans="3:6" ht="12">
      <c r="C718" s="3" t="s">
        <v>20</v>
      </c>
      <c r="F718" s="3" t="s">
        <v>21</v>
      </c>
    </row>
    <row r="720" spans="3:6" ht="12">
      <c r="C720" s="17"/>
      <c r="D720" s="17"/>
      <c r="E720" s="6"/>
      <c r="F720" s="17"/>
    </row>
    <row r="721" spans="3:6" ht="12">
      <c r="C721" s="3" t="s">
        <v>22</v>
      </c>
      <c r="F721" s="3" t="s">
        <v>21</v>
      </c>
    </row>
    <row r="726" spans="1:8" ht="12.75">
      <c r="A726" s="412" t="s">
        <v>79</v>
      </c>
      <c r="B726" s="412"/>
      <c r="C726" s="412"/>
      <c r="D726" s="412"/>
      <c r="E726" s="412"/>
      <c r="F726" s="412"/>
      <c r="G726" s="412"/>
      <c r="H726" s="412"/>
    </row>
    <row r="727" spans="2:7" ht="12">
      <c r="B727" s="1"/>
      <c r="C727" s="1"/>
      <c r="D727" s="1"/>
      <c r="E727" s="1"/>
      <c r="F727" s="1"/>
      <c r="G727" s="1"/>
    </row>
    <row r="729" ht="12">
      <c r="B729" s="2" t="s">
        <v>194</v>
      </c>
    </row>
    <row r="730" ht="12">
      <c r="B730" s="2" t="s">
        <v>10</v>
      </c>
    </row>
    <row r="731" ht="12">
      <c r="B731" s="2" t="s">
        <v>11</v>
      </c>
    </row>
    <row r="732" ht="12">
      <c r="B732" s="2" t="s">
        <v>12</v>
      </c>
    </row>
    <row r="738" spans="3:6" ht="12">
      <c r="C738" s="2" t="s">
        <v>13</v>
      </c>
      <c r="F738" s="12">
        <f>'2019 Certified Values'!I509</f>
        <v>1066681690</v>
      </c>
    </row>
    <row r="740" ht="12">
      <c r="C740" s="11" t="s">
        <v>80</v>
      </c>
    </row>
    <row r="741" spans="3:6" ht="12">
      <c r="C741" s="2" t="s">
        <v>15</v>
      </c>
      <c r="F741" s="12">
        <f>'2019 Certified Values'!I513</f>
        <v>1015418640</v>
      </c>
    </row>
    <row r="743" ht="12">
      <c r="C743" s="13" t="s">
        <v>81</v>
      </c>
    </row>
    <row r="744" spans="3:6" ht="15">
      <c r="C744" s="14" t="s">
        <v>16</v>
      </c>
      <c r="F744" s="15">
        <f>'2019 Certified Values'!I525</f>
        <v>894648596</v>
      </c>
    </row>
    <row r="746" spans="3:6" ht="12">
      <c r="C746" s="3" t="s">
        <v>17</v>
      </c>
      <c r="F746" s="8">
        <f>'2019 Certified Values'!I531</f>
        <v>15679</v>
      </c>
    </row>
    <row r="748" spans="3:6" ht="12">
      <c r="C748" s="3" t="s">
        <v>18</v>
      </c>
      <c r="F748" s="8">
        <f>'2019 Certified Values'!I530</f>
        <v>8941214</v>
      </c>
    </row>
    <row r="750" spans="3:6" ht="12">
      <c r="C750" s="9" t="s">
        <v>72</v>
      </c>
      <c r="F750" s="12">
        <f>'2019 Certified Values'!I511</f>
        <v>-705420</v>
      </c>
    </row>
    <row r="751" ht="12">
      <c r="F751" s="65"/>
    </row>
    <row r="752" spans="3:6" ht="12">
      <c r="C752" s="9"/>
      <c r="F752" s="65"/>
    </row>
    <row r="753" ht="12">
      <c r="F753" s="65"/>
    </row>
    <row r="754" spans="3:6" ht="12">
      <c r="C754" s="9"/>
      <c r="F754" s="65"/>
    </row>
    <row r="756" ht="12">
      <c r="F756" s="12"/>
    </row>
    <row r="762" spans="3:6" ht="12">
      <c r="C762" s="17"/>
      <c r="D762" s="17"/>
      <c r="E762" s="6"/>
      <c r="F762" s="17"/>
    </row>
    <row r="763" spans="3:6" ht="12">
      <c r="C763" s="3" t="s">
        <v>20</v>
      </c>
      <c r="F763" s="3" t="s">
        <v>21</v>
      </c>
    </row>
    <row r="765" spans="3:6" ht="12">
      <c r="C765" s="17"/>
      <c r="D765" s="17"/>
      <c r="E765" s="6"/>
      <c r="F765" s="17"/>
    </row>
    <row r="766" spans="3:6" ht="12">
      <c r="C766" s="3" t="s">
        <v>22</v>
      </c>
      <c r="F766" s="9" t="s">
        <v>21</v>
      </c>
    </row>
    <row r="774" spans="1:8" ht="12.75">
      <c r="A774" s="412" t="s">
        <v>159</v>
      </c>
      <c r="B774" s="412"/>
      <c r="C774" s="412"/>
      <c r="D774" s="412"/>
      <c r="E774" s="412"/>
      <c r="F774" s="412"/>
      <c r="G774" s="412"/>
      <c r="H774" s="412"/>
    </row>
    <row r="775" spans="2:7" ht="12">
      <c r="B775" s="1"/>
      <c r="C775" s="1"/>
      <c r="D775" s="1"/>
      <c r="E775" s="1"/>
      <c r="F775" s="1"/>
      <c r="G775" s="1"/>
    </row>
    <row r="776" ht="12">
      <c r="B776" s="2" t="s">
        <v>194</v>
      </c>
    </row>
    <row r="777" ht="12">
      <c r="B777" s="2" t="s">
        <v>10</v>
      </c>
    </row>
    <row r="778" ht="12">
      <c r="B778" s="2" t="s">
        <v>11</v>
      </c>
    </row>
    <row r="779" ht="12">
      <c r="B779" s="2" t="s">
        <v>12</v>
      </c>
    </row>
    <row r="785" spans="3:6" ht="12">
      <c r="C785" s="2" t="s">
        <v>13</v>
      </c>
      <c r="F785" s="12">
        <f>'2019 Certified Values'!I661</f>
        <v>0</v>
      </c>
    </row>
    <row r="787" ht="12">
      <c r="C787" s="11" t="s">
        <v>80</v>
      </c>
    </row>
    <row r="788" spans="3:6" ht="12">
      <c r="C788" s="2" t="s">
        <v>15</v>
      </c>
      <c r="F788" s="12">
        <f>'2019 Certified Values'!I665</f>
        <v>0</v>
      </c>
    </row>
    <row r="790" ht="12">
      <c r="C790" s="13" t="s">
        <v>81</v>
      </c>
    </row>
    <row r="791" spans="3:6" ht="15">
      <c r="C791" s="14" t="s">
        <v>16</v>
      </c>
      <c r="F791" s="15">
        <f>'2019 Certified Values'!I677</f>
        <v>0</v>
      </c>
    </row>
    <row r="793" spans="3:6" ht="12">
      <c r="C793" s="3" t="s">
        <v>17</v>
      </c>
      <c r="F793" s="8">
        <f>'2019 Certified Values'!I683</f>
        <v>0</v>
      </c>
    </row>
    <row r="795" spans="3:6" ht="12">
      <c r="C795" s="3" t="s">
        <v>18</v>
      </c>
      <c r="F795" s="8">
        <f>'2019 Certified Values'!I682</f>
        <v>0</v>
      </c>
    </row>
    <row r="797" spans="3:6" ht="12">
      <c r="C797" s="9" t="s">
        <v>72</v>
      </c>
      <c r="F797" s="12">
        <f>'2019 Certified Values'!I663</f>
        <v>0</v>
      </c>
    </row>
    <row r="798" ht="12">
      <c r="F798" s="65"/>
    </row>
    <row r="799" spans="3:6" ht="12">
      <c r="C799" s="9"/>
      <c r="F799" s="65"/>
    </row>
    <row r="800" ht="12">
      <c r="F800" s="65"/>
    </row>
    <row r="801" spans="3:6" ht="12">
      <c r="C801" s="9"/>
      <c r="F801" s="65"/>
    </row>
    <row r="803" ht="12">
      <c r="F803" s="12"/>
    </row>
    <row r="809" spans="3:6" ht="12">
      <c r="C809" s="17"/>
      <c r="D809" s="17"/>
      <c r="E809" s="6"/>
      <c r="F809" s="17"/>
    </row>
    <row r="810" spans="3:6" ht="12">
      <c r="C810" s="3" t="s">
        <v>20</v>
      </c>
      <c r="F810" s="3" t="s">
        <v>21</v>
      </c>
    </row>
    <row r="812" spans="3:6" ht="12">
      <c r="C812" s="17"/>
      <c r="D812" s="17"/>
      <c r="E812" s="6"/>
      <c r="F812" s="17"/>
    </row>
    <row r="813" spans="3:6" ht="12">
      <c r="C813" s="3" t="s">
        <v>22</v>
      </c>
      <c r="F813" s="9" t="s">
        <v>21</v>
      </c>
    </row>
    <row r="821" spans="1:8" ht="12.75">
      <c r="A821" s="412" t="s">
        <v>171</v>
      </c>
      <c r="B821" s="412"/>
      <c r="C821" s="412"/>
      <c r="D821" s="412"/>
      <c r="E821" s="412"/>
      <c r="F821" s="412"/>
      <c r="G821" s="412"/>
      <c r="H821" s="412"/>
    </row>
    <row r="824" spans="2:7" ht="12">
      <c r="B824" s="1"/>
      <c r="C824" s="1"/>
      <c r="D824" s="1"/>
      <c r="E824" s="1"/>
      <c r="F824" s="1"/>
      <c r="G824" s="1"/>
    </row>
    <row r="825" ht="12">
      <c r="B825" s="2" t="s">
        <v>194</v>
      </c>
    </row>
    <row r="826" ht="12">
      <c r="B826" s="2" t="s">
        <v>10</v>
      </c>
    </row>
    <row r="827" ht="12">
      <c r="B827" s="2" t="s">
        <v>11</v>
      </c>
    </row>
    <row r="828" ht="12">
      <c r="B828" s="2" t="s">
        <v>12</v>
      </c>
    </row>
    <row r="834" spans="3:6" ht="12">
      <c r="C834" s="2" t="s">
        <v>13</v>
      </c>
      <c r="F834" s="12">
        <f>'2019 Certified Values'!I699</f>
        <v>0</v>
      </c>
    </row>
    <row r="836" ht="12">
      <c r="C836" s="11" t="s">
        <v>80</v>
      </c>
    </row>
    <row r="837" spans="3:6" ht="12">
      <c r="C837" s="2" t="s">
        <v>15</v>
      </c>
      <c r="F837" s="12">
        <f>'2019 Certified Values'!I703</f>
        <v>0</v>
      </c>
    </row>
    <row r="839" ht="12">
      <c r="C839" s="13" t="s">
        <v>81</v>
      </c>
    </row>
    <row r="840" spans="3:6" ht="15">
      <c r="C840" s="14" t="s">
        <v>16</v>
      </c>
      <c r="F840" s="15">
        <f>'2019 Certified Values'!I715</f>
        <v>0</v>
      </c>
    </row>
    <row r="842" spans="3:6" ht="12">
      <c r="C842" s="3" t="s">
        <v>17</v>
      </c>
      <c r="F842" s="8">
        <f>'2019 Certified Values'!I721</f>
        <v>0</v>
      </c>
    </row>
    <row r="844" spans="3:6" ht="12">
      <c r="C844" s="3" t="s">
        <v>18</v>
      </c>
      <c r="F844" s="8">
        <f>'2019 Certified Values'!I720</f>
        <v>0</v>
      </c>
    </row>
    <row r="846" spans="3:6" ht="12">
      <c r="C846" s="9" t="s">
        <v>72</v>
      </c>
      <c r="F846" s="12">
        <f>'2019 Certified Values'!I701</f>
        <v>0</v>
      </c>
    </row>
    <row r="847" ht="12">
      <c r="F847" s="65"/>
    </row>
    <row r="848" spans="3:6" ht="12">
      <c r="C848" s="9"/>
      <c r="F848" s="65"/>
    </row>
    <row r="849" ht="12">
      <c r="F849" s="65"/>
    </row>
    <row r="850" spans="3:6" ht="12">
      <c r="C850" s="9"/>
      <c r="F850" s="65"/>
    </row>
    <row r="852" ht="12">
      <c r="F852" s="12"/>
    </row>
    <row r="858" spans="3:6" ht="12">
      <c r="C858" s="17"/>
      <c r="D858" s="17"/>
      <c r="E858" s="6"/>
      <c r="F858" s="17"/>
    </row>
    <row r="859" spans="3:6" ht="12">
      <c r="C859" s="3" t="s">
        <v>20</v>
      </c>
      <c r="F859" s="3" t="s">
        <v>21</v>
      </c>
    </row>
    <row r="861" spans="3:6" ht="12">
      <c r="C861" s="17"/>
      <c r="D861" s="17"/>
      <c r="E861" s="6"/>
      <c r="F861" s="17"/>
    </row>
    <row r="862" spans="3:6" ht="12">
      <c r="C862" s="3" t="s">
        <v>22</v>
      </c>
      <c r="F862" s="9" t="s">
        <v>21</v>
      </c>
    </row>
    <row r="869" spans="1:8" ht="12.75">
      <c r="A869" s="412" t="s">
        <v>172</v>
      </c>
      <c r="B869" s="412"/>
      <c r="C869" s="412"/>
      <c r="D869" s="412"/>
      <c r="E869" s="412"/>
      <c r="F869" s="412"/>
      <c r="G869" s="412"/>
      <c r="H869" s="412"/>
    </row>
    <row r="872" spans="2:7" ht="12">
      <c r="B872" s="1"/>
      <c r="C872" s="1"/>
      <c r="D872" s="1"/>
      <c r="E872" s="1"/>
      <c r="F872" s="1"/>
      <c r="G872" s="1"/>
    </row>
    <row r="873" ht="12">
      <c r="B873" s="2" t="s">
        <v>194</v>
      </c>
    </row>
    <row r="874" ht="12">
      <c r="B874" s="2" t="s">
        <v>10</v>
      </c>
    </row>
    <row r="875" ht="12">
      <c r="B875" s="2" t="s">
        <v>11</v>
      </c>
    </row>
    <row r="876" ht="12">
      <c r="B876" s="2" t="s">
        <v>12</v>
      </c>
    </row>
    <row r="882" spans="3:6" ht="12">
      <c r="C882" s="2" t="s">
        <v>13</v>
      </c>
      <c r="F882" s="12">
        <f>'2019 Certified Values'!I737</f>
        <v>0</v>
      </c>
    </row>
    <row r="884" ht="12">
      <c r="C884" s="11" t="s">
        <v>80</v>
      </c>
    </row>
    <row r="885" spans="3:6" ht="12">
      <c r="C885" s="2" t="s">
        <v>15</v>
      </c>
      <c r="F885" s="12">
        <f>'2019 Certified Values'!I741</f>
        <v>0</v>
      </c>
    </row>
    <row r="887" ht="12">
      <c r="C887" s="13" t="s">
        <v>81</v>
      </c>
    </row>
    <row r="888" spans="3:6" ht="15">
      <c r="C888" s="14" t="s">
        <v>16</v>
      </c>
      <c r="F888" s="15">
        <f>'2019 Certified Values'!I753</f>
        <v>0</v>
      </c>
    </row>
    <row r="890" spans="3:6" ht="12">
      <c r="C890" s="3" t="s">
        <v>17</v>
      </c>
      <c r="F890" s="8">
        <f>'2019 Certified Values'!I759</f>
        <v>0</v>
      </c>
    </row>
    <row r="892" spans="3:6" ht="12">
      <c r="C892" s="3" t="s">
        <v>18</v>
      </c>
      <c r="F892" s="8">
        <f>'2019 Certified Values'!I758</f>
        <v>0</v>
      </c>
    </row>
    <row r="894" spans="3:6" ht="12">
      <c r="C894" s="9" t="s">
        <v>72</v>
      </c>
      <c r="F894" s="12">
        <f>'2019 Certified Values'!I739</f>
        <v>0</v>
      </c>
    </row>
    <row r="895" ht="12">
      <c r="F895" s="65"/>
    </row>
    <row r="896" spans="3:6" ht="12">
      <c r="C896" s="9"/>
      <c r="F896" s="65"/>
    </row>
    <row r="898" ht="12">
      <c r="F898" s="12"/>
    </row>
    <row r="904" spans="3:6" ht="12">
      <c r="C904" s="17"/>
      <c r="D904" s="17"/>
      <c r="E904" s="6"/>
      <c r="F904" s="17"/>
    </row>
    <row r="905" spans="3:6" ht="12">
      <c r="C905" s="3" t="s">
        <v>20</v>
      </c>
      <c r="F905" s="3" t="s">
        <v>21</v>
      </c>
    </row>
    <row r="907" spans="3:6" ht="12">
      <c r="C907" s="17"/>
      <c r="D907" s="17"/>
      <c r="E907" s="6"/>
      <c r="F907" s="17"/>
    </row>
    <row r="908" spans="3:6" ht="12">
      <c r="C908" s="3" t="s">
        <v>22</v>
      </c>
      <c r="F908" s="9" t="s">
        <v>21</v>
      </c>
    </row>
    <row r="916" spans="1:8" ht="12.75">
      <c r="A916" s="412" t="s">
        <v>173</v>
      </c>
      <c r="B916" s="412"/>
      <c r="C916" s="412"/>
      <c r="D916" s="412"/>
      <c r="E916" s="412"/>
      <c r="F916" s="412"/>
      <c r="G916" s="412"/>
      <c r="H916" s="412"/>
    </row>
    <row r="919" spans="2:7" ht="12">
      <c r="B919" s="1"/>
      <c r="C919" s="1"/>
      <c r="D919" s="1"/>
      <c r="E919" s="1"/>
      <c r="F919" s="1"/>
      <c r="G919" s="1"/>
    </row>
    <row r="920" ht="12">
      <c r="B920" s="2" t="s">
        <v>194</v>
      </c>
    </row>
    <row r="921" ht="12">
      <c r="B921" s="2" t="s">
        <v>10</v>
      </c>
    </row>
    <row r="922" ht="12">
      <c r="B922" s="2" t="s">
        <v>11</v>
      </c>
    </row>
    <row r="923" ht="12">
      <c r="B923" s="2" t="s">
        <v>12</v>
      </c>
    </row>
    <row r="929" spans="3:6" ht="12">
      <c r="C929" s="2" t="s">
        <v>13</v>
      </c>
      <c r="F929" s="12">
        <f>'2019 Certified Values'!I775</f>
        <v>0</v>
      </c>
    </row>
    <row r="931" ht="12">
      <c r="C931" s="11" t="s">
        <v>80</v>
      </c>
    </row>
    <row r="932" spans="3:6" ht="12">
      <c r="C932" s="2" t="s">
        <v>15</v>
      </c>
      <c r="F932" s="12">
        <f>'2019 Certified Values'!I779</f>
        <v>0</v>
      </c>
    </row>
    <row r="934" ht="12">
      <c r="C934" s="13" t="s">
        <v>81</v>
      </c>
    </row>
    <row r="935" spans="3:6" ht="15">
      <c r="C935" s="14" t="s">
        <v>16</v>
      </c>
      <c r="F935" s="15">
        <f>'2019 Certified Values'!I791</f>
        <v>0</v>
      </c>
    </row>
    <row r="937" spans="3:6" ht="12">
      <c r="C937" s="3" t="s">
        <v>17</v>
      </c>
      <c r="F937" s="8">
        <f>'2019 Certified Values'!I797</f>
        <v>0</v>
      </c>
    </row>
    <row r="939" spans="3:6" ht="12">
      <c r="C939" s="3" t="s">
        <v>18</v>
      </c>
      <c r="F939" s="8">
        <f>'2019 Certified Values'!I796</f>
        <v>0</v>
      </c>
    </row>
    <row r="941" spans="3:6" ht="12">
      <c r="C941" s="9" t="s">
        <v>72</v>
      </c>
      <c r="F941" s="12">
        <f>'2019 Certified Values'!I777</f>
        <v>0</v>
      </c>
    </row>
    <row r="942" ht="12">
      <c r="F942" s="65"/>
    </row>
    <row r="943" spans="3:6" ht="12">
      <c r="C943" s="9"/>
      <c r="F943" s="65"/>
    </row>
    <row r="944" ht="12">
      <c r="F944" s="65"/>
    </row>
    <row r="945" spans="3:6" ht="12">
      <c r="C945" s="9"/>
      <c r="F945" s="65"/>
    </row>
    <row r="947" ht="12">
      <c r="F947" s="12"/>
    </row>
    <row r="953" spans="3:6" ht="12">
      <c r="C953" s="17"/>
      <c r="D953" s="17"/>
      <c r="E953" s="6"/>
      <c r="F953" s="17"/>
    </row>
    <row r="954" spans="3:6" ht="12">
      <c r="C954" s="3" t="s">
        <v>20</v>
      </c>
      <c r="F954" s="3" t="s">
        <v>21</v>
      </c>
    </row>
    <row r="956" spans="3:6" ht="12">
      <c r="C956" s="17"/>
      <c r="D956" s="17"/>
      <c r="E956" s="6"/>
      <c r="F956" s="17"/>
    </row>
    <row r="957" spans="3:6" ht="12">
      <c r="C957" s="3" t="s">
        <v>22</v>
      </c>
      <c r="F957" s="9" t="s">
        <v>21</v>
      </c>
    </row>
    <row r="962" spans="1:8" ht="12.75">
      <c r="A962" s="412" t="s">
        <v>186</v>
      </c>
      <c r="B962" s="412"/>
      <c r="C962" s="412"/>
      <c r="D962" s="412"/>
      <c r="E962" s="412"/>
      <c r="F962" s="412"/>
      <c r="G962" s="412"/>
      <c r="H962" s="412"/>
    </row>
    <row r="964" ht="12">
      <c r="B964" s="2" t="s">
        <v>194</v>
      </c>
    </row>
    <row r="965" ht="12">
      <c r="B965" s="2" t="s">
        <v>10</v>
      </c>
    </row>
    <row r="966" ht="12">
      <c r="B966" s="2" t="s">
        <v>11</v>
      </c>
    </row>
    <row r="967" ht="12">
      <c r="B967" s="2" t="s">
        <v>12</v>
      </c>
    </row>
    <row r="973" spans="3:6" ht="12">
      <c r="C973" s="2" t="s">
        <v>13</v>
      </c>
      <c r="F973" s="12">
        <f>'2019 Certified Values'!I813</f>
        <v>0</v>
      </c>
    </row>
    <row r="975" ht="12">
      <c r="C975" s="11" t="s">
        <v>80</v>
      </c>
    </row>
    <row r="976" spans="3:6" ht="12">
      <c r="C976" s="2" t="s">
        <v>15</v>
      </c>
      <c r="F976" s="12">
        <f>'2019 Certified Values'!H817</f>
        <v>180628100</v>
      </c>
    </row>
    <row r="978" ht="12">
      <c r="C978" s="13" t="s">
        <v>81</v>
      </c>
    </row>
    <row r="979" spans="3:6" ht="15">
      <c r="C979" s="14" t="s">
        <v>16</v>
      </c>
      <c r="F979" s="15">
        <f>'2019 Certified Values'!I829</f>
        <v>0</v>
      </c>
    </row>
    <row r="981" spans="3:6" ht="12">
      <c r="C981" s="3" t="s">
        <v>17</v>
      </c>
      <c r="F981" s="8">
        <f>'2019 Certified Values'!I835</f>
        <v>0</v>
      </c>
    </row>
    <row r="983" spans="3:6" ht="12">
      <c r="C983" s="3" t="s">
        <v>18</v>
      </c>
      <c r="F983" s="8">
        <f>'2019 Certified Values'!I834</f>
        <v>0</v>
      </c>
    </row>
    <row r="985" spans="3:6" ht="12">
      <c r="C985" s="9" t="s">
        <v>72</v>
      </c>
      <c r="F985" s="12">
        <f>'2019 Certified Values'!I815</f>
        <v>0</v>
      </c>
    </row>
    <row r="986" ht="12">
      <c r="F986" s="65"/>
    </row>
    <row r="987" spans="3:6" ht="12">
      <c r="C987" s="9"/>
      <c r="F987" s="65"/>
    </row>
    <row r="988" ht="12">
      <c r="F988" s="65"/>
    </row>
    <row r="989" spans="3:6" ht="12">
      <c r="C989" s="9"/>
      <c r="F989" s="65"/>
    </row>
    <row r="991" ht="12">
      <c r="F991" s="12"/>
    </row>
    <row r="997" spans="3:6" ht="12">
      <c r="C997" s="17"/>
      <c r="D997" s="17"/>
      <c r="E997" s="6"/>
      <c r="F997" s="17"/>
    </row>
    <row r="998" spans="3:6" ht="12">
      <c r="C998" s="3" t="s">
        <v>20</v>
      </c>
      <c r="F998" s="3" t="s">
        <v>21</v>
      </c>
    </row>
    <row r="1000" spans="3:6" ht="12">
      <c r="C1000" s="17"/>
      <c r="D1000" s="17"/>
      <c r="E1000" s="6"/>
      <c r="F1000" s="17"/>
    </row>
    <row r="1001" spans="3:6" ht="12">
      <c r="C1001" s="3" t="s">
        <v>22</v>
      </c>
      <c r="F1001" s="9" t="s">
        <v>21</v>
      </c>
    </row>
  </sheetData>
  <sheetProtection/>
  <mergeCells count="31">
    <mergeCell ref="A2:H2"/>
    <mergeCell ref="A227:H227"/>
    <mergeCell ref="A183:H183"/>
    <mergeCell ref="A138:H138"/>
    <mergeCell ref="A4:G4"/>
    <mergeCell ref="A94:G94"/>
    <mergeCell ref="A48:H48"/>
    <mergeCell ref="A49:G49"/>
    <mergeCell ref="A321:G321"/>
    <mergeCell ref="A184:G184"/>
    <mergeCell ref="A93:H93"/>
    <mergeCell ref="A139:G139"/>
    <mergeCell ref="A228:G228"/>
    <mergeCell ref="A276:H276"/>
    <mergeCell ref="A320:H320"/>
    <mergeCell ref="A325:H325"/>
    <mergeCell ref="A456:H456"/>
    <mergeCell ref="A501:H501"/>
    <mergeCell ref="A546:H546"/>
    <mergeCell ref="A410:H410"/>
    <mergeCell ref="A365:H365"/>
    <mergeCell ref="A962:H962"/>
    <mergeCell ref="A821:H821"/>
    <mergeCell ref="A869:H869"/>
    <mergeCell ref="A916:H916"/>
    <mergeCell ref="A274:H274"/>
    <mergeCell ref="A774:H774"/>
    <mergeCell ref="A726:H726"/>
    <mergeCell ref="A681:H681"/>
    <mergeCell ref="A636:H636"/>
    <mergeCell ref="A591:H591"/>
  </mergeCells>
  <printOptions horizontalCentered="1"/>
  <pageMargins left="0.25" right="0.27" top="1.19" bottom="1.64" header="0.46" footer="0.5"/>
  <pageSetup horizontalDpi="600" verticalDpi="600" orientation="portrait" r:id="rId2"/>
  <headerFooter alignWithMargins="0">
    <oddHeader>&amp;C&amp;"Monotype Corsiva,Regular"&amp;18Harrison Central Appraisal District&amp;"Arial,Bold"&amp;10 
2019
 CERTIFICATION of TAXABLE VALUE for</oddHeader>
    <oddFooter xml:space="preserve">&amp;C&amp;"Arial,Regular"&amp;8 </oddFooter>
  </headerFooter>
  <rowBreaks count="16" manualBreakCount="16">
    <brk id="45" max="255" man="1"/>
    <brk id="91" max="255" man="1"/>
    <brk id="136" max="255" man="1"/>
    <brk id="181" max="255" man="1"/>
    <brk id="225" max="255" man="1"/>
    <brk id="363" max="255" man="1"/>
    <brk id="408" max="255" man="1"/>
    <brk id="499" max="255" man="1"/>
    <brk id="544" max="255" man="1"/>
    <brk id="589" max="255" man="1"/>
    <brk id="634" max="255" man="1"/>
    <brk id="679" max="255" man="1"/>
    <brk id="724" max="255" man="1"/>
    <brk id="816" max="255" man="1"/>
    <brk id="865" max="255" man="1"/>
    <brk id="9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9"/>
  <sheetViews>
    <sheetView zoomScalePageLayoutView="0" workbookViewId="0" topLeftCell="A1">
      <selection activeCell="A44" sqref="A44:G44"/>
    </sheetView>
  </sheetViews>
  <sheetFormatPr defaultColWidth="9.140625" defaultRowHeight="12.75"/>
  <cols>
    <col min="1" max="1" width="15.7109375" style="0" customWidth="1"/>
    <col min="2" max="2" width="12.8515625" style="0" customWidth="1"/>
    <col min="3" max="3" width="12.28125" style="0" customWidth="1"/>
    <col min="4" max="4" width="13.28125" style="0" customWidth="1"/>
    <col min="5" max="5" width="13.57421875" style="0" customWidth="1"/>
    <col min="6" max="6" width="12.7109375" style="0" customWidth="1"/>
    <col min="7" max="7" width="13.57421875" style="0" customWidth="1"/>
  </cols>
  <sheetData>
    <row r="2" spans="1:7" ht="12.75">
      <c r="A2" s="415" t="s">
        <v>183</v>
      </c>
      <c r="B2" s="415"/>
      <c r="C2" s="415"/>
      <c r="D2" s="415"/>
      <c r="E2" s="415"/>
      <c r="F2" s="415"/>
      <c r="G2" s="415"/>
    </row>
    <row r="3" spans="1:7" ht="12.75">
      <c r="A3" s="415" t="s">
        <v>129</v>
      </c>
      <c r="B3" s="415"/>
      <c r="C3" s="415"/>
      <c r="D3" s="415"/>
      <c r="E3" s="415"/>
      <c r="F3" s="415"/>
      <c r="G3" s="415"/>
    </row>
    <row r="4" spans="1:7" ht="12.75">
      <c r="A4" s="414" t="s">
        <v>177</v>
      </c>
      <c r="B4" s="414"/>
      <c r="C4" s="414"/>
      <c r="D4" s="414"/>
      <c r="E4" s="414"/>
      <c r="F4" s="414"/>
      <c r="G4" s="414"/>
    </row>
    <row r="5" spans="1:7" ht="34.5" customHeight="1">
      <c r="A5" s="86" t="s">
        <v>130</v>
      </c>
      <c r="B5" s="86" t="s">
        <v>131</v>
      </c>
      <c r="C5" s="86" t="s">
        <v>133</v>
      </c>
      <c r="D5" s="86" t="s">
        <v>145</v>
      </c>
      <c r="E5" s="86" t="s">
        <v>146</v>
      </c>
      <c r="F5" s="86" t="s">
        <v>144</v>
      </c>
      <c r="G5" s="86" t="s">
        <v>161</v>
      </c>
    </row>
    <row r="6" spans="1:7" ht="12.75">
      <c r="A6" s="87"/>
      <c r="B6" s="87"/>
      <c r="C6" s="87"/>
      <c r="D6" s="87"/>
      <c r="E6" s="87"/>
      <c r="F6" s="87"/>
      <c r="G6" s="87"/>
    </row>
    <row r="7" spans="1:7" ht="12.75">
      <c r="A7" s="87" t="s">
        <v>8</v>
      </c>
      <c r="B7" s="88"/>
      <c r="C7" s="90"/>
      <c r="D7" s="88"/>
      <c r="E7" s="88"/>
      <c r="F7" s="88"/>
      <c r="G7" s="89"/>
    </row>
    <row r="8" spans="1:8" ht="12.75">
      <c r="A8" s="87" t="s">
        <v>134</v>
      </c>
      <c r="B8" s="88"/>
      <c r="C8" s="90"/>
      <c r="D8" s="88"/>
      <c r="E8" s="88"/>
      <c r="F8" s="88"/>
      <c r="G8" s="89"/>
      <c r="H8" s="92"/>
    </row>
    <row r="9" spans="1:7" ht="12.75">
      <c r="A9" s="87" t="s">
        <v>135</v>
      </c>
      <c r="B9" s="88"/>
      <c r="C9" s="90"/>
      <c r="D9" s="88"/>
      <c r="E9" s="88"/>
      <c r="F9" s="88"/>
      <c r="G9" s="89"/>
    </row>
    <row r="10" spans="1:7" ht="12.75">
      <c r="A10" s="87" t="s">
        <v>136</v>
      </c>
      <c r="B10" s="88"/>
      <c r="C10" s="90"/>
      <c r="D10" s="88"/>
      <c r="E10" s="88"/>
      <c r="F10" s="88"/>
      <c r="G10" s="89"/>
    </row>
    <row r="11" spans="1:7" ht="12.75">
      <c r="A11" s="87" t="s">
        <v>137</v>
      </c>
      <c r="B11" s="88"/>
      <c r="C11" s="90"/>
      <c r="D11" s="88"/>
      <c r="E11" s="88"/>
      <c r="F11" s="88"/>
      <c r="G11" s="89"/>
    </row>
    <row r="12" spans="1:7" ht="12.75">
      <c r="A12" s="87" t="s">
        <v>138</v>
      </c>
      <c r="B12" s="88"/>
      <c r="C12" s="90"/>
      <c r="D12" s="88"/>
      <c r="E12" s="88"/>
      <c r="F12" s="88"/>
      <c r="G12" s="89"/>
    </row>
    <row r="13" spans="1:7" ht="12.75">
      <c r="A13" s="87" t="s">
        <v>2</v>
      </c>
      <c r="B13" s="88"/>
      <c r="C13" s="90"/>
      <c r="D13" s="88"/>
      <c r="E13" s="88"/>
      <c r="F13" s="88"/>
      <c r="G13" s="89"/>
    </row>
    <row r="14" spans="1:7" ht="12.75">
      <c r="A14" s="87" t="s">
        <v>3</v>
      </c>
      <c r="B14" s="88"/>
      <c r="C14" s="90"/>
      <c r="D14" s="88"/>
      <c r="E14" s="88"/>
      <c r="F14" s="88"/>
      <c r="G14" s="89"/>
    </row>
    <row r="15" spans="1:7" ht="12.75">
      <c r="A15" s="87" t="s">
        <v>4</v>
      </c>
      <c r="B15" s="88"/>
      <c r="C15" s="90"/>
      <c r="D15" s="88"/>
      <c r="E15" s="88"/>
      <c r="F15" s="88"/>
      <c r="G15" s="89"/>
    </row>
    <row r="16" spans="1:7" ht="12.75">
      <c r="A16" s="87" t="s">
        <v>5</v>
      </c>
      <c r="B16" s="88"/>
      <c r="C16" s="90"/>
      <c r="D16" s="88"/>
      <c r="E16" s="88"/>
      <c r="F16" s="88"/>
      <c r="G16" s="89"/>
    </row>
    <row r="17" spans="1:7" ht="12.75">
      <c r="A17" s="87" t="s">
        <v>1</v>
      </c>
      <c r="B17" s="88"/>
      <c r="C17" s="90"/>
      <c r="D17" s="88"/>
      <c r="E17" s="88"/>
      <c r="F17" s="88"/>
      <c r="G17" s="89"/>
    </row>
    <row r="18" spans="1:7" ht="12.75">
      <c r="A18" s="87" t="s">
        <v>110</v>
      </c>
      <c r="B18" s="88"/>
      <c r="C18" s="90"/>
      <c r="D18" s="88"/>
      <c r="E18" s="88"/>
      <c r="F18" s="88"/>
      <c r="G18" s="89"/>
    </row>
    <row r="19" spans="1:7" ht="12.75">
      <c r="A19" s="87" t="s">
        <v>111</v>
      </c>
      <c r="B19" s="88"/>
      <c r="C19" s="90"/>
      <c r="D19" s="88"/>
      <c r="E19" s="88"/>
      <c r="F19" s="88"/>
      <c r="G19" s="89"/>
    </row>
    <row r="20" spans="1:7" ht="12.75">
      <c r="A20" s="87" t="s">
        <v>139</v>
      </c>
      <c r="B20" s="88"/>
      <c r="C20" s="90"/>
      <c r="D20" s="88"/>
      <c r="E20" s="88"/>
      <c r="F20" s="88"/>
      <c r="G20" s="89"/>
    </row>
    <row r="21" spans="1:7" ht="12.75">
      <c r="A21" s="87" t="s">
        <v>140</v>
      </c>
      <c r="B21" s="88"/>
      <c r="C21" s="90"/>
      <c r="D21" s="88"/>
      <c r="E21" s="88"/>
      <c r="F21" s="88"/>
      <c r="G21" s="89"/>
    </row>
    <row r="22" spans="1:7" ht="12.75">
      <c r="A22" s="87" t="s">
        <v>141</v>
      </c>
      <c r="B22" s="88"/>
      <c r="C22" s="90"/>
      <c r="D22" s="88"/>
      <c r="E22" s="88"/>
      <c r="F22" s="88"/>
      <c r="G22" s="89"/>
    </row>
    <row r="23" spans="1:7" ht="12.75">
      <c r="A23" s="87" t="s">
        <v>142</v>
      </c>
      <c r="B23" s="88"/>
      <c r="C23" s="90"/>
      <c r="D23" s="88"/>
      <c r="E23" s="88"/>
      <c r="F23" s="87"/>
      <c r="G23" s="89"/>
    </row>
    <row r="24" spans="1:7" ht="12.75">
      <c r="A24" s="87" t="s">
        <v>160</v>
      </c>
      <c r="B24" s="222"/>
      <c r="C24" s="90"/>
      <c r="D24" s="222"/>
      <c r="E24" s="222"/>
      <c r="F24" s="91"/>
      <c r="G24" s="223"/>
    </row>
    <row r="25" spans="1:7" ht="12.75">
      <c r="A25" s="87" t="s">
        <v>179</v>
      </c>
      <c r="B25" s="222"/>
      <c r="C25" s="90"/>
      <c r="D25" s="222"/>
      <c r="E25" s="222"/>
      <c r="F25" s="91"/>
      <c r="G25" s="223"/>
    </row>
    <row r="26" spans="1:7" ht="12.75">
      <c r="A26" s="87" t="s">
        <v>180</v>
      </c>
      <c r="B26" s="222"/>
      <c r="C26" s="90"/>
      <c r="D26" s="222"/>
      <c r="E26" s="222"/>
      <c r="F26" s="91"/>
      <c r="G26" s="223"/>
    </row>
    <row r="27" spans="1:7" ht="12.75">
      <c r="A27" s="87" t="s">
        <v>181</v>
      </c>
      <c r="B27" s="222"/>
      <c r="C27" s="90"/>
      <c r="D27" s="222"/>
      <c r="E27" s="222"/>
      <c r="F27" s="91"/>
      <c r="G27" s="223"/>
    </row>
    <row r="28" spans="1:7" ht="12.75">
      <c r="A28" s="87" t="s">
        <v>143</v>
      </c>
      <c r="B28" s="88">
        <f>SUM(B7:B23)</f>
        <v>0</v>
      </c>
      <c r="C28" s="87"/>
      <c r="D28" s="88">
        <f>SUM(D7:D23)</f>
        <v>0</v>
      </c>
      <c r="E28" s="88">
        <f>SUM(E7:E23)</f>
        <v>0</v>
      </c>
      <c r="F28" s="89">
        <f>SUM(F7:F23)</f>
        <v>0</v>
      </c>
      <c r="G28" s="89">
        <f>SUM(G7:G23)</f>
        <v>0</v>
      </c>
    </row>
    <row r="43" spans="1:7" ht="12.75">
      <c r="A43" s="415" t="s">
        <v>190</v>
      </c>
      <c r="B43" s="415"/>
      <c r="C43" s="415"/>
      <c r="D43" s="415"/>
      <c r="E43" s="415"/>
      <c r="F43" s="415"/>
      <c r="G43" s="415"/>
    </row>
    <row r="44" spans="1:7" ht="12.75">
      <c r="A44" s="415" t="s">
        <v>129</v>
      </c>
      <c r="B44" s="415"/>
      <c r="C44" s="415"/>
      <c r="D44" s="415"/>
      <c r="E44" s="415"/>
      <c r="F44" s="415"/>
      <c r="G44" s="415"/>
    </row>
    <row r="45" spans="1:7" ht="12.75">
      <c r="A45" s="414" t="s">
        <v>178</v>
      </c>
      <c r="B45" s="414"/>
      <c r="C45" s="414"/>
      <c r="D45" s="414"/>
      <c r="E45" s="414"/>
      <c r="F45" s="414"/>
      <c r="G45" s="414"/>
    </row>
    <row r="46" spans="1:7" ht="25.5">
      <c r="A46" s="86" t="s">
        <v>130</v>
      </c>
      <c r="B46" s="86" t="s">
        <v>132</v>
      </c>
      <c r="C46" s="86" t="s">
        <v>133</v>
      </c>
      <c r="D46" s="86" t="s">
        <v>145</v>
      </c>
      <c r="E46" s="86" t="s">
        <v>146</v>
      </c>
      <c r="F46" s="86" t="s">
        <v>144</v>
      </c>
      <c r="G46" s="86" t="s">
        <v>161</v>
      </c>
    </row>
    <row r="47" spans="1:7" ht="12.75">
      <c r="A47" s="87"/>
      <c r="B47" s="87"/>
      <c r="C47" s="87"/>
      <c r="D47" s="87"/>
      <c r="E47" s="87"/>
      <c r="F47" s="87"/>
      <c r="G47" s="87"/>
    </row>
    <row r="48" spans="1:7" ht="12.75">
      <c r="A48" s="87" t="s">
        <v>8</v>
      </c>
      <c r="B48" s="88"/>
      <c r="C48" s="90"/>
      <c r="D48" s="88"/>
      <c r="E48" s="88"/>
      <c r="F48" s="88"/>
      <c r="G48" s="89"/>
    </row>
    <row r="49" spans="1:7" ht="12.75">
      <c r="A49" s="87" t="s">
        <v>134</v>
      </c>
      <c r="B49" s="88"/>
      <c r="C49" s="91"/>
      <c r="D49" s="88"/>
      <c r="E49" s="88"/>
      <c r="F49" s="88"/>
      <c r="G49" s="89"/>
    </row>
    <row r="50" spans="1:7" ht="12.75">
      <c r="A50" s="87" t="s">
        <v>135</v>
      </c>
      <c r="B50" s="88"/>
      <c r="C50" s="91"/>
      <c r="D50" s="88"/>
      <c r="E50" s="88"/>
      <c r="F50" s="88"/>
      <c r="G50" s="89"/>
    </row>
    <row r="51" spans="1:7" ht="12.75">
      <c r="A51" s="87" t="s">
        <v>136</v>
      </c>
      <c r="B51" s="88"/>
      <c r="C51" s="91"/>
      <c r="D51" s="88"/>
      <c r="E51" s="88"/>
      <c r="F51" s="88"/>
      <c r="G51" s="89"/>
    </row>
    <row r="52" spans="1:7" ht="12.75">
      <c r="A52" s="87" t="s">
        <v>137</v>
      </c>
      <c r="B52" s="88"/>
      <c r="C52" s="90"/>
      <c r="D52" s="88"/>
      <c r="E52" s="88"/>
      <c r="F52" s="88"/>
      <c r="G52" s="89"/>
    </row>
    <row r="53" spans="1:7" ht="12.75">
      <c r="A53" s="87" t="s">
        <v>138</v>
      </c>
      <c r="B53" s="88"/>
      <c r="C53" s="91"/>
      <c r="D53" s="88"/>
      <c r="E53" s="88"/>
      <c r="F53" s="88"/>
      <c r="G53" s="89"/>
    </row>
    <row r="54" spans="1:7" ht="12.75">
      <c r="A54" s="87" t="s">
        <v>2</v>
      </c>
      <c r="B54" s="88"/>
      <c r="C54" s="91"/>
      <c r="D54" s="88"/>
      <c r="E54" s="88"/>
      <c r="F54" s="88"/>
      <c r="G54" s="89"/>
    </row>
    <row r="55" spans="1:7" ht="12.75">
      <c r="A55" s="87" t="s">
        <v>3</v>
      </c>
      <c r="B55" s="88"/>
      <c r="C55" s="91"/>
      <c r="D55" s="88"/>
      <c r="E55" s="88"/>
      <c r="F55" s="88"/>
      <c r="G55" s="89"/>
    </row>
    <row r="56" spans="1:7" ht="12.75">
      <c r="A56" s="87" t="s">
        <v>4</v>
      </c>
      <c r="B56" s="88"/>
      <c r="C56" s="90"/>
      <c r="D56" s="88"/>
      <c r="E56" s="88"/>
      <c r="F56" s="88"/>
      <c r="G56" s="89"/>
    </row>
    <row r="57" spans="1:7" ht="12.75">
      <c r="A57" s="87" t="s">
        <v>5</v>
      </c>
      <c r="B57" s="88"/>
      <c r="C57" s="91"/>
      <c r="D57" s="88"/>
      <c r="E57" s="88"/>
      <c r="F57" s="88"/>
      <c r="G57" s="89"/>
    </row>
    <row r="58" spans="1:7" ht="12.75">
      <c r="A58" s="87" t="s">
        <v>1</v>
      </c>
      <c r="B58" s="88"/>
      <c r="C58" s="90"/>
      <c r="D58" s="88"/>
      <c r="E58" s="88"/>
      <c r="F58" s="88"/>
      <c r="G58" s="89"/>
    </row>
    <row r="59" spans="1:7" ht="12.75">
      <c r="A59" s="87" t="s">
        <v>110</v>
      </c>
      <c r="B59" s="88"/>
      <c r="C59" s="91"/>
      <c r="D59" s="88"/>
      <c r="E59" s="88"/>
      <c r="F59" s="88"/>
      <c r="G59" s="89"/>
    </row>
    <row r="60" spans="1:7" ht="12.75">
      <c r="A60" s="87" t="s">
        <v>111</v>
      </c>
      <c r="B60" s="88"/>
      <c r="C60" s="91"/>
      <c r="D60" s="88"/>
      <c r="E60" s="88"/>
      <c r="F60" s="88"/>
      <c r="G60" s="89"/>
    </row>
    <row r="61" spans="1:7" ht="12.75">
      <c r="A61" s="87" t="s">
        <v>139</v>
      </c>
      <c r="B61" s="88"/>
      <c r="C61" s="90"/>
      <c r="D61" s="88"/>
      <c r="E61" s="88"/>
      <c r="F61" s="88"/>
      <c r="G61" s="89"/>
    </row>
    <row r="62" spans="1:7" ht="12.75">
      <c r="A62" s="87" t="s">
        <v>140</v>
      </c>
      <c r="B62" s="88"/>
      <c r="C62" s="90"/>
      <c r="D62" s="88"/>
      <c r="E62" s="88"/>
      <c r="F62" s="88"/>
      <c r="G62" s="89"/>
    </row>
    <row r="63" spans="1:7" ht="12.75">
      <c r="A63" s="87" t="s">
        <v>141</v>
      </c>
      <c r="B63" s="88"/>
      <c r="C63" s="90"/>
      <c r="D63" s="88"/>
      <c r="E63" s="88"/>
      <c r="F63" s="88"/>
      <c r="G63" s="89"/>
    </row>
    <row r="64" spans="1:7" ht="12.75">
      <c r="A64" s="87" t="s">
        <v>142</v>
      </c>
      <c r="B64" s="88"/>
      <c r="C64" s="90"/>
      <c r="D64" s="88"/>
      <c r="E64" s="88"/>
      <c r="F64" s="87"/>
      <c r="G64" s="89"/>
    </row>
    <row r="65" spans="1:7" ht="12.75">
      <c r="A65" s="87" t="s">
        <v>160</v>
      </c>
      <c r="B65" s="222"/>
      <c r="C65" s="90"/>
      <c r="D65" s="222"/>
      <c r="E65" s="222"/>
      <c r="F65" s="91"/>
      <c r="G65" s="223"/>
    </row>
    <row r="66" spans="1:7" ht="12.75">
      <c r="A66" s="87" t="s">
        <v>179</v>
      </c>
      <c r="B66" s="222"/>
      <c r="C66" s="90"/>
      <c r="D66" s="222"/>
      <c r="E66" s="222"/>
      <c r="F66" s="91"/>
      <c r="G66" s="223"/>
    </row>
    <row r="67" spans="1:7" ht="12.75">
      <c r="A67" s="87" t="s">
        <v>180</v>
      </c>
      <c r="B67" s="222"/>
      <c r="C67" s="90"/>
      <c r="D67" s="222"/>
      <c r="E67" s="222"/>
      <c r="F67" s="91"/>
      <c r="G67" s="223"/>
    </row>
    <row r="68" spans="1:7" ht="12.75">
      <c r="A68" s="87" t="s">
        <v>181</v>
      </c>
      <c r="B68" s="222"/>
      <c r="C68" s="90"/>
      <c r="D68" s="222"/>
      <c r="E68" s="222"/>
      <c r="F68" s="91"/>
      <c r="G68" s="223"/>
    </row>
    <row r="69" spans="1:7" ht="12.75">
      <c r="A69" s="87" t="s">
        <v>143</v>
      </c>
      <c r="B69" s="88">
        <f>SUM(B48:B64)</f>
        <v>0</v>
      </c>
      <c r="C69" s="87"/>
      <c r="D69" s="88">
        <f>SUM(D48:D64)</f>
        <v>0</v>
      </c>
      <c r="E69" s="88">
        <f>SUM(E48:E64)</f>
        <v>0</v>
      </c>
      <c r="F69" s="89">
        <f>SUM(F48:F64)</f>
        <v>0</v>
      </c>
      <c r="G69" s="89">
        <f>SUM(G48:G64)</f>
        <v>0</v>
      </c>
    </row>
  </sheetData>
  <sheetProtection/>
  <mergeCells count="6">
    <mergeCell ref="A45:G45"/>
    <mergeCell ref="A2:G2"/>
    <mergeCell ref="A3:G3"/>
    <mergeCell ref="A43:G43"/>
    <mergeCell ref="A44:G44"/>
    <mergeCell ref="A4:G4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8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8515625" style="0" customWidth="1"/>
    <col min="2" max="2" width="16.28125" style="0" customWidth="1"/>
    <col min="3" max="3" width="16.140625" style="0" customWidth="1"/>
    <col min="4" max="4" width="17.421875" style="0" customWidth="1"/>
  </cols>
  <sheetData>
    <row r="2" spans="1:4" ht="12.75">
      <c r="A2" s="415" t="s">
        <v>191</v>
      </c>
      <c r="B2" s="415"/>
      <c r="C2" s="415"/>
      <c r="D2" s="415"/>
    </row>
    <row r="3" spans="1:4" ht="12.75">
      <c r="A3" s="415" t="s">
        <v>147</v>
      </c>
      <c r="B3" s="415"/>
      <c r="C3" s="415"/>
      <c r="D3" s="415"/>
    </row>
    <row r="4" spans="1:4" ht="12.75">
      <c r="A4" s="414" t="s">
        <v>175</v>
      </c>
      <c r="B4" s="414"/>
      <c r="C4" s="414"/>
      <c r="D4" s="414"/>
    </row>
    <row r="5" spans="1:4" ht="34.5" customHeight="1">
      <c r="A5" s="86" t="s">
        <v>130</v>
      </c>
      <c r="B5" s="86" t="s">
        <v>131</v>
      </c>
      <c r="C5" s="86" t="s">
        <v>144</v>
      </c>
      <c r="D5" s="86" t="s">
        <v>161</v>
      </c>
    </row>
    <row r="6" spans="1:4" ht="12.75">
      <c r="A6" s="87"/>
      <c r="B6" s="87"/>
      <c r="C6" s="87"/>
      <c r="D6" s="87"/>
    </row>
    <row r="7" spans="1:4" ht="12.75">
      <c r="A7" s="87" t="s">
        <v>8</v>
      </c>
      <c r="B7" s="88"/>
      <c r="C7" s="88"/>
      <c r="D7" s="89"/>
    </row>
    <row r="8" spans="1:5" ht="12.75">
      <c r="A8" s="87" t="s">
        <v>134</v>
      </c>
      <c r="B8" s="88"/>
      <c r="C8" s="88"/>
      <c r="D8" s="89"/>
      <c r="E8" s="92"/>
    </row>
    <row r="9" spans="1:4" ht="12.75">
      <c r="A9" s="87" t="s">
        <v>135</v>
      </c>
      <c r="B9" s="88"/>
      <c r="C9" s="88"/>
      <c r="D9" s="89"/>
    </row>
    <row r="10" spans="1:4" ht="12.75">
      <c r="A10" s="87" t="s">
        <v>136</v>
      </c>
      <c r="B10" s="88"/>
      <c r="C10" s="88"/>
      <c r="D10" s="89"/>
    </row>
    <row r="11" spans="1:4" ht="12.75">
      <c r="A11" s="87" t="s">
        <v>137</v>
      </c>
      <c r="B11" s="88"/>
      <c r="C11" s="88"/>
      <c r="D11" s="89"/>
    </row>
    <row r="12" spans="1:4" ht="12.75">
      <c r="A12" s="87" t="s">
        <v>138</v>
      </c>
      <c r="B12" s="88"/>
      <c r="C12" s="88"/>
      <c r="D12" s="89"/>
    </row>
    <row r="13" spans="1:4" ht="12.75">
      <c r="A13" s="87" t="s">
        <v>2</v>
      </c>
      <c r="B13" s="88"/>
      <c r="C13" s="88"/>
      <c r="D13" s="89"/>
    </row>
    <row r="14" spans="1:4" ht="12.75">
      <c r="A14" s="87" t="s">
        <v>3</v>
      </c>
      <c r="B14" s="88"/>
      <c r="C14" s="88"/>
      <c r="D14" s="89"/>
    </row>
    <row r="15" spans="1:4" ht="12.75">
      <c r="A15" s="87" t="s">
        <v>4</v>
      </c>
      <c r="B15" s="88"/>
      <c r="C15" s="88"/>
      <c r="D15" s="89"/>
    </row>
    <row r="16" spans="1:4" ht="12.75">
      <c r="A16" s="87" t="s">
        <v>5</v>
      </c>
      <c r="B16" s="88"/>
      <c r="C16" s="88"/>
      <c r="D16" s="89"/>
    </row>
    <row r="17" spans="1:4" ht="12.75">
      <c r="A17" s="87" t="s">
        <v>1</v>
      </c>
      <c r="B17" s="88"/>
      <c r="C17" s="88"/>
      <c r="D17" s="89"/>
    </row>
    <row r="18" spans="1:4" ht="12.75">
      <c r="A18" s="87" t="s">
        <v>110</v>
      </c>
      <c r="B18" s="88"/>
      <c r="C18" s="88"/>
      <c r="D18" s="89"/>
    </row>
    <row r="19" spans="1:4" ht="12.75">
      <c r="A19" s="87" t="s">
        <v>111</v>
      </c>
      <c r="B19" s="88"/>
      <c r="C19" s="88"/>
      <c r="D19" s="89"/>
    </row>
    <row r="20" spans="1:4" ht="12.75">
      <c r="A20" s="87" t="s">
        <v>139</v>
      </c>
      <c r="B20" s="88"/>
      <c r="C20" s="88"/>
      <c r="D20" s="89"/>
    </row>
    <row r="21" spans="1:4" ht="12.75">
      <c r="A21" s="87" t="s">
        <v>140</v>
      </c>
      <c r="B21" s="88"/>
      <c r="C21" s="88"/>
      <c r="D21" s="89"/>
    </row>
    <row r="22" spans="1:4" ht="12.75">
      <c r="A22" s="87" t="s">
        <v>141</v>
      </c>
      <c r="B22" s="88"/>
      <c r="C22" s="88"/>
      <c r="D22" s="89"/>
    </row>
    <row r="23" spans="1:4" ht="12.75">
      <c r="A23" s="87" t="s">
        <v>142</v>
      </c>
      <c r="B23" s="88"/>
      <c r="C23" s="88"/>
      <c r="D23" s="89"/>
    </row>
    <row r="24" spans="1:4" ht="12.75">
      <c r="A24" s="87" t="s">
        <v>160</v>
      </c>
      <c r="B24" s="244"/>
      <c r="C24" s="244"/>
      <c r="D24" s="245"/>
    </row>
    <row r="25" spans="1:4" ht="12.75">
      <c r="A25" s="87" t="s">
        <v>179</v>
      </c>
      <c r="B25" s="244"/>
      <c r="C25" s="244"/>
      <c r="D25" s="245"/>
    </row>
    <row r="26" spans="1:4" ht="12.75">
      <c r="A26" s="87" t="s">
        <v>180</v>
      </c>
      <c r="B26" s="244"/>
      <c r="C26" s="244"/>
      <c r="D26" s="245"/>
    </row>
    <row r="27" spans="1:4" ht="13.5" thickBot="1">
      <c r="A27" s="87" t="s">
        <v>181</v>
      </c>
      <c r="B27" s="211"/>
      <c r="C27" s="211"/>
      <c r="D27" s="212"/>
    </row>
    <row r="28" spans="1:4" ht="12.75">
      <c r="A28" s="224" t="s">
        <v>143</v>
      </c>
      <c r="B28" s="209">
        <f>SUM(B7:B27)</f>
        <v>0</v>
      </c>
      <c r="C28" s="210">
        <f>SUM(C7:C27)</f>
        <v>0</v>
      </c>
      <c r="D28" s="210">
        <f>SUM(B28-C28)</f>
        <v>0</v>
      </c>
    </row>
    <row r="31" spans="1:4" ht="12.75">
      <c r="A31" s="415" t="s">
        <v>192</v>
      </c>
      <c r="B31" s="415"/>
      <c r="C31" s="415"/>
      <c r="D31" s="415"/>
    </row>
    <row r="32" spans="1:4" ht="12.75">
      <c r="A32" s="415" t="s">
        <v>147</v>
      </c>
      <c r="B32" s="415"/>
      <c r="C32" s="415"/>
      <c r="D32" s="415"/>
    </row>
    <row r="33" spans="1:4" ht="12.75">
      <c r="A33" s="414" t="s">
        <v>176</v>
      </c>
      <c r="B33" s="414"/>
      <c r="C33" s="414"/>
      <c r="D33" s="414"/>
    </row>
    <row r="34" spans="1:4" ht="25.5">
      <c r="A34" s="86" t="s">
        <v>130</v>
      </c>
      <c r="B34" s="86" t="s">
        <v>132</v>
      </c>
      <c r="C34" s="86" t="s">
        <v>144</v>
      </c>
      <c r="D34" s="86" t="s">
        <v>161</v>
      </c>
    </row>
    <row r="35" spans="1:4" ht="12.75">
      <c r="A35" s="87"/>
      <c r="B35" s="87"/>
      <c r="C35" s="87"/>
      <c r="D35" s="87"/>
    </row>
    <row r="36" spans="1:4" ht="12.75">
      <c r="A36" s="87" t="s">
        <v>8</v>
      </c>
      <c r="B36" s="88"/>
      <c r="C36" s="88"/>
      <c r="D36" s="89"/>
    </row>
    <row r="37" spans="1:4" ht="12.75">
      <c r="A37" s="87" t="s">
        <v>134</v>
      </c>
      <c r="B37" s="88"/>
      <c r="C37" s="88"/>
      <c r="D37" s="89"/>
    </row>
    <row r="38" spans="1:4" ht="12.75">
      <c r="A38" s="87" t="s">
        <v>135</v>
      </c>
      <c r="B38" s="88"/>
      <c r="C38" s="88"/>
      <c r="D38" s="89"/>
    </row>
    <row r="39" spans="1:4" ht="12.75">
      <c r="A39" s="87" t="s">
        <v>136</v>
      </c>
      <c r="B39" s="88"/>
      <c r="C39" s="88"/>
      <c r="D39" s="89"/>
    </row>
    <row r="40" spans="1:4" ht="12.75">
      <c r="A40" s="87" t="s">
        <v>137</v>
      </c>
      <c r="B40" s="88"/>
      <c r="C40" s="88"/>
      <c r="D40" s="89"/>
    </row>
    <row r="41" spans="1:4" ht="12.75">
      <c r="A41" s="87" t="s">
        <v>138</v>
      </c>
      <c r="B41" s="88"/>
      <c r="C41" s="88"/>
      <c r="D41" s="89"/>
    </row>
    <row r="42" spans="1:4" ht="12.75">
      <c r="A42" s="87" t="s">
        <v>2</v>
      </c>
      <c r="B42" s="88"/>
      <c r="C42" s="88"/>
      <c r="D42" s="89"/>
    </row>
    <row r="43" spans="1:4" ht="12.75">
      <c r="A43" s="87" t="s">
        <v>3</v>
      </c>
      <c r="B43" s="88"/>
      <c r="C43" s="88"/>
      <c r="D43" s="89"/>
    </row>
    <row r="44" spans="1:4" ht="12.75">
      <c r="A44" s="87" t="s">
        <v>4</v>
      </c>
      <c r="B44" s="88"/>
      <c r="C44" s="88"/>
      <c r="D44" s="89"/>
    </row>
    <row r="45" spans="1:4" ht="12.75">
      <c r="A45" s="87" t="s">
        <v>5</v>
      </c>
      <c r="B45" s="88"/>
      <c r="C45" s="88"/>
      <c r="D45" s="89"/>
    </row>
    <row r="46" spans="1:4" ht="12.75">
      <c r="A46" s="87" t="s">
        <v>1</v>
      </c>
      <c r="B46" s="88"/>
      <c r="C46" s="88"/>
      <c r="D46" s="89"/>
    </row>
    <row r="47" spans="1:4" ht="12.75">
      <c r="A47" s="87" t="s">
        <v>110</v>
      </c>
      <c r="B47" s="88"/>
      <c r="C47" s="88"/>
      <c r="D47" s="89"/>
    </row>
    <row r="48" spans="1:4" ht="12.75">
      <c r="A48" s="87" t="s">
        <v>111</v>
      </c>
      <c r="B48" s="88"/>
      <c r="C48" s="88"/>
      <c r="D48" s="89"/>
    </row>
    <row r="49" spans="1:4" ht="12.75">
      <c r="A49" s="87" t="s">
        <v>139</v>
      </c>
      <c r="B49" s="88"/>
      <c r="C49" s="88"/>
      <c r="D49" s="89"/>
    </row>
    <row r="50" spans="1:4" ht="12.75">
      <c r="A50" s="87" t="s">
        <v>140</v>
      </c>
      <c r="B50" s="88"/>
      <c r="C50" s="88"/>
      <c r="D50" s="89"/>
    </row>
    <row r="51" spans="1:4" ht="12.75">
      <c r="A51" s="87" t="s">
        <v>141</v>
      </c>
      <c r="B51" s="88"/>
      <c r="C51" s="88"/>
      <c r="D51" s="89"/>
    </row>
    <row r="52" spans="1:4" ht="12.75">
      <c r="A52" s="87" t="s">
        <v>142</v>
      </c>
      <c r="B52" s="88"/>
      <c r="C52" s="88"/>
      <c r="D52" s="89"/>
    </row>
    <row r="53" spans="1:4" ht="12.75">
      <c r="A53" s="87" t="s">
        <v>160</v>
      </c>
      <c r="B53" s="88"/>
      <c r="C53" s="244"/>
      <c r="D53" s="246"/>
    </row>
    <row r="54" spans="1:4" ht="12.75">
      <c r="A54" s="87" t="s">
        <v>179</v>
      </c>
      <c r="B54" s="209"/>
      <c r="C54" s="244"/>
      <c r="D54" s="210"/>
    </row>
    <row r="55" spans="1:4" ht="12.75">
      <c r="A55" s="87" t="s">
        <v>180</v>
      </c>
      <c r="B55" s="209"/>
      <c r="C55" s="88"/>
      <c r="D55" s="210"/>
    </row>
    <row r="56" spans="1:4" ht="13.5" thickBot="1">
      <c r="A56" s="87" t="s">
        <v>181</v>
      </c>
      <c r="B56" s="225"/>
      <c r="C56" s="225"/>
      <c r="D56" s="226"/>
    </row>
    <row r="57" spans="1:4" ht="12.75">
      <c r="A57" s="87" t="s">
        <v>143</v>
      </c>
      <c r="B57" s="209">
        <f>SUM(B36:B56)</f>
        <v>0</v>
      </c>
      <c r="C57" s="210">
        <f>SUM(C36:C52)</f>
        <v>0</v>
      </c>
      <c r="D57" s="210">
        <f>SUM(B57-C57)</f>
        <v>0</v>
      </c>
    </row>
    <row r="61" spans="1:4" ht="12.75">
      <c r="A61" s="415" t="s">
        <v>191</v>
      </c>
      <c r="B61" s="415"/>
      <c r="C61" s="415"/>
      <c r="D61" s="415"/>
    </row>
    <row r="62" spans="1:4" ht="12.75">
      <c r="A62" s="415" t="s">
        <v>147</v>
      </c>
      <c r="B62" s="415"/>
      <c r="C62" s="415"/>
      <c r="D62" s="415"/>
    </row>
    <row r="63" spans="1:4" ht="12.75">
      <c r="A63" s="414" t="s">
        <v>182</v>
      </c>
      <c r="B63" s="414"/>
      <c r="C63" s="414"/>
      <c r="D63" s="414"/>
    </row>
    <row r="64" spans="1:4" ht="25.5">
      <c r="A64" s="86" t="s">
        <v>130</v>
      </c>
      <c r="B64" s="86" t="s">
        <v>131</v>
      </c>
      <c r="C64" s="86" t="s">
        <v>144</v>
      </c>
      <c r="D64" s="86" t="s">
        <v>161</v>
      </c>
    </row>
    <row r="65" spans="1:4" ht="12.75">
      <c r="A65" s="87"/>
      <c r="B65" s="87"/>
      <c r="C65" s="87"/>
      <c r="D65" s="87"/>
    </row>
    <row r="66" spans="1:4" ht="12.75">
      <c r="A66" s="87" t="s">
        <v>8</v>
      </c>
      <c r="B66" s="88"/>
      <c r="C66" s="88"/>
      <c r="D66" s="89"/>
    </row>
    <row r="67" spans="1:4" ht="12.75">
      <c r="A67" s="87" t="s">
        <v>134</v>
      </c>
      <c r="B67" s="88"/>
      <c r="C67" s="88"/>
      <c r="D67" s="89"/>
    </row>
    <row r="68" spans="1:4" ht="12.75">
      <c r="A68" s="87" t="s">
        <v>135</v>
      </c>
      <c r="B68" s="88"/>
      <c r="C68" s="88"/>
      <c r="D68" s="89"/>
    </row>
    <row r="69" spans="1:4" ht="12.75">
      <c r="A69" s="87" t="s">
        <v>136</v>
      </c>
      <c r="B69" s="88"/>
      <c r="C69" s="88"/>
      <c r="D69" s="89"/>
    </row>
    <row r="70" spans="1:4" ht="12.75">
      <c r="A70" s="87" t="s">
        <v>137</v>
      </c>
      <c r="B70" s="88"/>
      <c r="C70" s="88"/>
      <c r="D70" s="89"/>
    </row>
    <row r="71" spans="1:4" ht="12.75">
      <c r="A71" s="87" t="s">
        <v>138</v>
      </c>
      <c r="B71" s="88"/>
      <c r="C71" s="88"/>
      <c r="D71" s="89"/>
    </row>
    <row r="72" spans="1:4" ht="12.75">
      <c r="A72" s="87" t="s">
        <v>2</v>
      </c>
      <c r="B72" s="88"/>
      <c r="C72" s="88"/>
      <c r="D72" s="89"/>
    </row>
    <row r="73" spans="1:4" ht="12.75">
      <c r="A73" s="87" t="s">
        <v>3</v>
      </c>
      <c r="B73" s="88"/>
      <c r="C73" s="88"/>
      <c r="D73" s="89"/>
    </row>
    <row r="74" spans="1:4" ht="12.75">
      <c r="A74" s="87" t="s">
        <v>4</v>
      </c>
      <c r="B74" s="88"/>
      <c r="C74" s="88"/>
      <c r="D74" s="89"/>
    </row>
    <row r="75" spans="1:4" ht="12.75">
      <c r="A75" s="87" t="s">
        <v>5</v>
      </c>
      <c r="B75" s="88"/>
      <c r="C75" s="88"/>
      <c r="D75" s="89"/>
    </row>
    <row r="76" spans="1:4" ht="12.75">
      <c r="A76" s="87" t="s">
        <v>1</v>
      </c>
      <c r="B76" s="88"/>
      <c r="C76" s="88"/>
      <c r="D76" s="89"/>
    </row>
    <row r="77" spans="1:4" ht="12.75">
      <c r="A77" s="87" t="s">
        <v>110</v>
      </c>
      <c r="B77" s="88"/>
      <c r="C77" s="88"/>
      <c r="D77" s="89"/>
    </row>
    <row r="78" spans="1:4" ht="12.75">
      <c r="A78" s="87" t="s">
        <v>111</v>
      </c>
      <c r="B78" s="88"/>
      <c r="C78" s="88"/>
      <c r="D78" s="89"/>
    </row>
    <row r="79" spans="1:4" ht="12.75">
      <c r="A79" s="87" t="s">
        <v>139</v>
      </c>
      <c r="B79" s="88"/>
      <c r="C79" s="88"/>
      <c r="D79" s="89"/>
    </row>
    <row r="80" spans="1:4" ht="12.75">
      <c r="A80" s="87" t="s">
        <v>140</v>
      </c>
      <c r="B80" s="88"/>
      <c r="C80" s="88"/>
      <c r="D80" s="89"/>
    </row>
    <row r="81" spans="1:4" ht="12.75">
      <c r="A81" s="87" t="s">
        <v>141</v>
      </c>
      <c r="B81" s="88"/>
      <c r="C81" s="88"/>
      <c r="D81" s="89"/>
    </row>
    <row r="82" spans="1:4" ht="12.75">
      <c r="A82" s="87" t="s">
        <v>142</v>
      </c>
      <c r="B82" s="88"/>
      <c r="C82" s="88"/>
      <c r="D82" s="89"/>
    </row>
    <row r="83" spans="1:4" ht="12.75">
      <c r="A83" s="87" t="s">
        <v>160</v>
      </c>
      <c r="B83" s="244"/>
      <c r="C83" s="244"/>
      <c r="D83" s="245"/>
    </row>
    <row r="84" spans="1:4" ht="12.75">
      <c r="A84" s="87" t="s">
        <v>179</v>
      </c>
      <c r="B84" s="244"/>
      <c r="C84" s="244"/>
      <c r="D84" s="245"/>
    </row>
    <row r="85" spans="1:4" ht="12.75">
      <c r="A85" s="87" t="s">
        <v>180</v>
      </c>
      <c r="B85" s="244"/>
      <c r="C85" s="244"/>
      <c r="D85" s="245"/>
    </row>
    <row r="86" spans="1:4" ht="13.5" thickBot="1">
      <c r="A86" s="87" t="s">
        <v>181</v>
      </c>
      <c r="B86" s="211"/>
      <c r="C86" s="211"/>
      <c r="D86" s="212"/>
    </row>
    <row r="87" spans="1:4" ht="12.75">
      <c r="A87" s="224" t="s">
        <v>143</v>
      </c>
      <c r="B87" s="209">
        <f>SUM(B66:B86)</f>
        <v>0</v>
      </c>
      <c r="C87" s="210">
        <f>SUM(C66:C86)</f>
        <v>0</v>
      </c>
      <c r="D87" s="210">
        <f>SUM(B87-C87)</f>
        <v>0</v>
      </c>
    </row>
  </sheetData>
  <sheetProtection/>
  <mergeCells count="9">
    <mergeCell ref="A61:D61"/>
    <mergeCell ref="A62:D62"/>
    <mergeCell ref="A63:D63"/>
    <mergeCell ref="A32:D32"/>
    <mergeCell ref="A33:D33"/>
    <mergeCell ref="A2:D2"/>
    <mergeCell ref="A3:D3"/>
    <mergeCell ref="A4:D4"/>
    <mergeCell ref="A31:D31"/>
  </mergeCells>
  <printOptions/>
  <pageMargins left="0.75" right="0.75" top="1" bottom="1" header="0.5" footer="0.5"/>
  <pageSetup horizontalDpi="600" verticalDpi="600" orientation="portrait" r:id="rId1"/>
  <rowBreaks count="2" manualBreakCount="2">
    <brk id="29" max="255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833"/>
  <sheetViews>
    <sheetView tabSelected="1" zoomScalePageLayoutView="0" workbookViewId="0" topLeftCell="A817">
      <selection activeCell="A791" sqref="A791:G835"/>
    </sheetView>
  </sheetViews>
  <sheetFormatPr defaultColWidth="9.140625" defaultRowHeight="12.75"/>
  <cols>
    <col min="1" max="1" width="7.57421875" style="2" customWidth="1"/>
    <col min="2" max="2" width="3.140625" style="2" customWidth="1"/>
    <col min="3" max="3" width="18.7109375" style="2" customWidth="1"/>
    <col min="4" max="4" width="11.7109375" style="2" customWidth="1"/>
    <col min="5" max="5" width="12.140625" style="2" customWidth="1"/>
    <col min="6" max="6" width="23.00390625" style="2" customWidth="1"/>
    <col min="7" max="7" width="14.00390625" style="2" customWidth="1"/>
    <col min="8" max="16384" width="9.140625" style="2" customWidth="1"/>
  </cols>
  <sheetData>
    <row r="2" spans="1:8" ht="12.75">
      <c r="A2" s="412" t="s">
        <v>97</v>
      </c>
      <c r="B2" s="412"/>
      <c r="C2" s="412"/>
      <c r="D2" s="412"/>
      <c r="E2" s="412"/>
      <c r="F2" s="412"/>
      <c r="G2" s="412"/>
      <c r="H2" s="75"/>
    </row>
    <row r="3" spans="1:7" ht="12.75">
      <c r="A3" s="412" t="s">
        <v>210</v>
      </c>
      <c r="B3" s="412"/>
      <c r="C3" s="412"/>
      <c r="D3" s="412"/>
      <c r="E3" s="412"/>
      <c r="F3" s="412"/>
      <c r="G3" s="412"/>
    </row>
    <row r="4" spans="1:7" ht="12.75">
      <c r="A4" s="412"/>
      <c r="B4" s="412"/>
      <c r="C4" s="412"/>
      <c r="D4" s="412"/>
      <c r="E4" s="412"/>
      <c r="F4" s="412"/>
      <c r="G4" s="412"/>
    </row>
    <row r="6" ht="12">
      <c r="B6" s="2" t="s">
        <v>194</v>
      </c>
    </row>
    <row r="7" ht="12.75">
      <c r="B7" s="2" t="s">
        <v>153</v>
      </c>
    </row>
    <row r="8" ht="12">
      <c r="B8" s="2" t="s">
        <v>155</v>
      </c>
    </row>
    <row r="9" ht="12.75">
      <c r="B9" s="215" t="s">
        <v>154</v>
      </c>
    </row>
    <row r="15" spans="3:6" ht="12">
      <c r="C15" s="2" t="s">
        <v>13</v>
      </c>
      <c r="F15" s="8">
        <v>16077760</v>
      </c>
    </row>
    <row r="17" ht="12">
      <c r="C17" s="11" t="s">
        <v>80</v>
      </c>
    </row>
    <row r="18" spans="3:6" ht="12">
      <c r="C18" s="2" t="s">
        <v>15</v>
      </c>
      <c r="F18" s="12">
        <v>16077760</v>
      </c>
    </row>
    <row r="20" ht="12">
      <c r="C20" s="13" t="s">
        <v>81</v>
      </c>
    </row>
    <row r="21" spans="3:6" ht="15">
      <c r="C21" s="14" t="s">
        <v>16</v>
      </c>
      <c r="F21" s="15">
        <v>16076720</v>
      </c>
    </row>
    <row r="23" spans="3:6" ht="12">
      <c r="C23" s="3"/>
      <c r="F23" s="8"/>
    </row>
    <row r="25" spans="3:6" ht="12">
      <c r="C25" s="3"/>
      <c r="F25" s="8"/>
    </row>
    <row r="27" spans="3:6" ht="12">
      <c r="C27" s="3"/>
      <c r="F27" s="8"/>
    </row>
    <row r="29" spans="3:6" ht="12">
      <c r="C29" s="3"/>
      <c r="F29" s="16"/>
    </row>
    <row r="31" spans="3:6" ht="12">
      <c r="C31" s="9"/>
      <c r="F31" s="66"/>
    </row>
    <row r="32" ht="12">
      <c r="F32" s="5"/>
    </row>
    <row r="33" spans="3:6" ht="12">
      <c r="C33" s="9"/>
      <c r="F33" s="5"/>
    </row>
    <row r="34" ht="12">
      <c r="F34" s="5"/>
    </row>
    <row r="35" spans="3:6" ht="12">
      <c r="C35" s="9"/>
      <c r="F35" s="5"/>
    </row>
    <row r="39" spans="3:6" ht="12">
      <c r="C39" s="17"/>
      <c r="D39" s="17"/>
      <c r="E39" s="6"/>
      <c r="F39" s="17"/>
    </row>
    <row r="40" spans="3:6" ht="12">
      <c r="C40" s="3" t="s">
        <v>20</v>
      </c>
      <c r="F40" s="3" t="s">
        <v>21</v>
      </c>
    </row>
    <row r="42" spans="3:6" ht="12">
      <c r="C42" s="17"/>
      <c r="D42" s="17"/>
      <c r="E42" s="6"/>
      <c r="F42" s="17"/>
    </row>
    <row r="43" spans="3:6" ht="12">
      <c r="C43" s="3" t="s">
        <v>22</v>
      </c>
      <c r="F43" s="3" t="s">
        <v>21</v>
      </c>
    </row>
    <row r="47" spans="1:8" ht="12.75">
      <c r="A47" s="412" t="s">
        <v>23</v>
      </c>
      <c r="B47" s="412"/>
      <c r="C47" s="412"/>
      <c r="D47" s="412"/>
      <c r="E47" s="412"/>
      <c r="F47" s="412"/>
      <c r="G47" s="412"/>
      <c r="H47" s="75"/>
    </row>
    <row r="48" spans="1:7" ht="12.75">
      <c r="A48" s="412" t="s">
        <v>210</v>
      </c>
      <c r="B48" s="412"/>
      <c r="C48" s="412"/>
      <c r="D48" s="412"/>
      <c r="E48" s="412"/>
      <c r="F48" s="412"/>
      <c r="G48" s="412"/>
    </row>
    <row r="49" spans="1:7" ht="12.75">
      <c r="A49" s="214"/>
      <c r="B49" s="214"/>
      <c r="C49" s="214"/>
      <c r="D49" s="214"/>
      <c r="E49" s="214"/>
      <c r="F49" s="214"/>
      <c r="G49" s="214"/>
    </row>
    <row r="50" spans="1:7" ht="12.75">
      <c r="A50" s="412"/>
      <c r="B50" s="412"/>
      <c r="C50" s="412"/>
      <c r="D50" s="412"/>
      <c r="E50" s="412"/>
      <c r="F50" s="412"/>
      <c r="G50" s="412"/>
    </row>
    <row r="51" ht="12">
      <c r="B51" s="2" t="s">
        <v>194</v>
      </c>
    </row>
    <row r="52" ht="12.75">
      <c r="B52" s="2" t="s">
        <v>153</v>
      </c>
    </row>
    <row r="53" ht="12">
      <c r="B53" s="2" t="s">
        <v>155</v>
      </c>
    </row>
    <row r="54" ht="12.75">
      <c r="B54" s="215" t="s">
        <v>154</v>
      </c>
    </row>
    <row r="61" spans="3:6" ht="12">
      <c r="C61" s="2" t="s">
        <v>13</v>
      </c>
      <c r="F61" s="4"/>
    </row>
    <row r="63" ht="12">
      <c r="C63" s="11" t="s">
        <v>80</v>
      </c>
    </row>
    <row r="64" spans="3:6" ht="12">
      <c r="C64" s="2" t="s">
        <v>15</v>
      </c>
      <c r="F64" s="12"/>
    </row>
    <row r="66" ht="12">
      <c r="C66" s="13" t="s">
        <v>81</v>
      </c>
    </row>
    <row r="67" spans="3:6" ht="15">
      <c r="C67" s="14" t="s">
        <v>16</v>
      </c>
      <c r="F67" s="15"/>
    </row>
    <row r="69" spans="3:6" ht="12">
      <c r="C69" s="3"/>
      <c r="F69" s="8"/>
    </row>
    <row r="71" spans="3:6" ht="12">
      <c r="C71" s="3"/>
      <c r="F71" s="8"/>
    </row>
    <row r="73" spans="3:6" ht="12">
      <c r="C73" s="3"/>
      <c r="F73" s="8"/>
    </row>
    <row r="75" spans="3:6" ht="12">
      <c r="C75" s="3"/>
      <c r="F75" s="7"/>
    </row>
    <row r="77" spans="3:6" ht="12">
      <c r="C77" s="9"/>
      <c r="F77" s="65"/>
    </row>
    <row r="85" spans="3:6" ht="12">
      <c r="C85" s="17"/>
      <c r="D85" s="17"/>
      <c r="E85" s="6"/>
      <c r="F85" s="17"/>
    </row>
    <row r="86" spans="3:6" ht="12">
      <c r="C86" s="3" t="s">
        <v>20</v>
      </c>
      <c r="F86" s="3" t="s">
        <v>21</v>
      </c>
    </row>
    <row r="88" spans="3:6" ht="12">
      <c r="C88" s="17"/>
      <c r="D88" s="17"/>
      <c r="E88" s="6"/>
      <c r="F88" s="17"/>
    </row>
    <row r="89" spans="3:6" ht="12">
      <c r="C89" s="3" t="s">
        <v>22</v>
      </c>
      <c r="F89" s="3" t="s">
        <v>21</v>
      </c>
    </row>
    <row r="93" spans="1:8" ht="12.75">
      <c r="A93" s="412" t="s">
        <v>24</v>
      </c>
      <c r="B93" s="412"/>
      <c r="C93" s="412"/>
      <c r="D93" s="412"/>
      <c r="E93" s="412"/>
      <c r="F93" s="412"/>
      <c r="G93" s="412"/>
      <c r="H93" s="75"/>
    </row>
    <row r="94" spans="1:7" ht="12.75">
      <c r="A94" s="412" t="s">
        <v>210</v>
      </c>
      <c r="B94" s="412"/>
      <c r="C94" s="412"/>
      <c r="D94" s="412"/>
      <c r="E94" s="412"/>
      <c r="F94" s="412"/>
      <c r="G94" s="412"/>
    </row>
    <row r="95" spans="1:7" ht="12.75">
      <c r="A95" s="214"/>
      <c r="B95" s="214"/>
      <c r="C95" s="214"/>
      <c r="D95" s="214"/>
      <c r="E95" s="214"/>
      <c r="F95" s="214"/>
      <c r="G95" s="214"/>
    </row>
    <row r="96" spans="1:7" ht="12.75">
      <c r="A96" s="412"/>
      <c r="B96" s="412"/>
      <c r="C96" s="412"/>
      <c r="D96" s="412"/>
      <c r="E96" s="412"/>
      <c r="F96" s="412"/>
      <c r="G96" s="412"/>
    </row>
    <row r="97" ht="12">
      <c r="B97" s="2" t="s">
        <v>194</v>
      </c>
    </row>
    <row r="98" ht="12.75">
      <c r="B98" s="2" t="s">
        <v>153</v>
      </c>
    </row>
    <row r="99" ht="12">
      <c r="B99" s="2" t="s">
        <v>155</v>
      </c>
    </row>
    <row r="100" ht="12.75">
      <c r="B100" s="215" t="s">
        <v>154</v>
      </c>
    </row>
    <row r="107" spans="3:6" ht="12">
      <c r="C107" s="2" t="s">
        <v>13</v>
      </c>
      <c r="F107" s="12"/>
    </row>
    <row r="109" ht="12">
      <c r="C109" s="11" t="s">
        <v>80</v>
      </c>
    </row>
    <row r="110" spans="3:6" ht="12">
      <c r="C110" s="2" t="s">
        <v>15</v>
      </c>
      <c r="F110" s="12"/>
    </row>
    <row r="112" ht="12">
      <c r="C112" s="13" t="s">
        <v>81</v>
      </c>
    </row>
    <row r="113" spans="3:6" ht="15">
      <c r="C113" s="14" t="s">
        <v>16</v>
      </c>
      <c r="F113" s="15"/>
    </row>
    <row r="115" spans="3:6" ht="12">
      <c r="C115" s="3"/>
      <c r="F115" s="8"/>
    </row>
    <row r="117" spans="3:6" ht="12">
      <c r="C117" s="3"/>
      <c r="F117" s="8"/>
    </row>
    <row r="119" spans="3:6" ht="12">
      <c r="C119" s="3"/>
      <c r="F119" s="8"/>
    </row>
    <row r="121" spans="3:6" ht="12">
      <c r="C121" s="3"/>
      <c r="F121" s="7"/>
    </row>
    <row r="123" spans="3:6" ht="12">
      <c r="C123" s="9"/>
      <c r="F123" s="12"/>
    </row>
    <row r="131" spans="3:6" ht="12">
      <c r="C131" s="17"/>
      <c r="D131" s="17"/>
      <c r="E131" s="6"/>
      <c r="F131" s="17"/>
    </row>
    <row r="132" spans="3:6" ht="12">
      <c r="C132" s="3" t="s">
        <v>20</v>
      </c>
      <c r="F132" s="3" t="s">
        <v>21</v>
      </c>
    </row>
    <row r="134" spans="3:6" ht="12">
      <c r="C134" s="17"/>
      <c r="D134" s="17"/>
      <c r="E134" s="6"/>
      <c r="F134" s="17"/>
    </row>
    <row r="135" spans="3:6" ht="12">
      <c r="C135" s="3" t="s">
        <v>150</v>
      </c>
      <c r="F135" s="3" t="s">
        <v>21</v>
      </c>
    </row>
    <row r="139" spans="1:8" ht="12.75">
      <c r="A139" s="412" t="s">
        <v>25</v>
      </c>
      <c r="B139" s="412"/>
      <c r="C139" s="412"/>
      <c r="D139" s="412"/>
      <c r="E139" s="412"/>
      <c r="F139" s="412"/>
      <c r="G139" s="412"/>
      <c r="H139" s="75"/>
    </row>
    <row r="140" spans="1:7" ht="12.75">
      <c r="A140" s="412" t="s">
        <v>210</v>
      </c>
      <c r="B140" s="412"/>
      <c r="C140" s="412"/>
      <c r="D140" s="412"/>
      <c r="E140" s="412"/>
      <c r="F140" s="412"/>
      <c r="G140" s="412"/>
    </row>
    <row r="141" spans="1:7" ht="12.75">
      <c r="A141" s="214"/>
      <c r="B141" s="214"/>
      <c r="C141" s="214"/>
      <c r="D141" s="214"/>
      <c r="E141" s="214"/>
      <c r="F141" s="214"/>
      <c r="G141" s="214"/>
    </row>
    <row r="142" spans="1:7" ht="12.75">
      <c r="A142" s="412"/>
      <c r="B142" s="412"/>
      <c r="C142" s="412"/>
      <c r="D142" s="412"/>
      <c r="E142" s="412"/>
      <c r="F142" s="412"/>
      <c r="G142" s="412"/>
    </row>
    <row r="143" ht="12">
      <c r="B143" s="2" t="s">
        <v>194</v>
      </c>
    </row>
    <row r="144" ht="12.75">
      <c r="B144" s="2" t="s">
        <v>153</v>
      </c>
    </row>
    <row r="145" ht="12">
      <c r="B145" s="2" t="s">
        <v>155</v>
      </c>
    </row>
    <row r="146" ht="12.75">
      <c r="B146" s="215" t="s">
        <v>154</v>
      </c>
    </row>
    <row r="153" spans="3:6" ht="12">
      <c r="C153" s="2" t="s">
        <v>13</v>
      </c>
      <c r="F153" s="12"/>
    </row>
    <row r="155" ht="12">
      <c r="C155" s="11" t="s">
        <v>80</v>
      </c>
    </row>
    <row r="156" spans="3:6" ht="12">
      <c r="C156" s="2" t="s">
        <v>15</v>
      </c>
      <c r="F156" s="12"/>
    </row>
    <row r="158" ht="12">
      <c r="C158" s="13" t="s">
        <v>81</v>
      </c>
    </row>
    <row r="159" spans="3:6" ht="15">
      <c r="C159" s="14" t="s">
        <v>16</v>
      </c>
      <c r="F159" s="15"/>
    </row>
    <row r="161" spans="3:6" ht="12">
      <c r="C161" s="3"/>
      <c r="F161" s="12"/>
    </row>
    <row r="163" spans="3:6" ht="12">
      <c r="C163" s="3"/>
      <c r="F163" s="12"/>
    </row>
    <row r="165" spans="3:6" ht="12">
      <c r="C165" s="3"/>
      <c r="F165" s="8"/>
    </row>
    <row r="167" spans="3:6" ht="12">
      <c r="C167" s="3"/>
      <c r="F167" s="7"/>
    </row>
    <row r="169" spans="3:6" ht="12">
      <c r="C169" s="9"/>
      <c r="F169" s="65"/>
    </row>
    <row r="177" spans="3:6" ht="12">
      <c r="C177" s="17"/>
      <c r="D177" s="17"/>
      <c r="E177" s="6"/>
      <c r="F177" s="17"/>
    </row>
    <row r="178" spans="3:6" ht="12">
      <c r="C178" s="3" t="s">
        <v>20</v>
      </c>
      <c r="F178" s="3" t="s">
        <v>21</v>
      </c>
    </row>
    <row r="180" spans="3:6" ht="12">
      <c r="C180" s="17"/>
      <c r="D180" s="17"/>
      <c r="E180" s="6"/>
      <c r="F180" s="17"/>
    </row>
    <row r="181" spans="3:6" ht="12">
      <c r="C181" s="3" t="s">
        <v>22</v>
      </c>
      <c r="F181" s="3" t="s">
        <v>21</v>
      </c>
    </row>
    <row r="185" spans="1:8" ht="12.75">
      <c r="A185" s="412" t="s">
        <v>26</v>
      </c>
      <c r="B185" s="412"/>
      <c r="C185" s="412"/>
      <c r="D185" s="412"/>
      <c r="E185" s="412"/>
      <c r="F185" s="412"/>
      <c r="G185" s="412"/>
      <c r="H185" s="75"/>
    </row>
    <row r="186" spans="1:7" ht="12.75">
      <c r="A186" s="412" t="s">
        <v>210</v>
      </c>
      <c r="B186" s="412"/>
      <c r="C186" s="412"/>
      <c r="D186" s="412"/>
      <c r="E186" s="412"/>
      <c r="F186" s="412"/>
      <c r="G186" s="412"/>
    </row>
    <row r="187" spans="1:7" ht="12.75">
      <c r="A187" s="214"/>
      <c r="B187" s="214"/>
      <c r="C187" s="214"/>
      <c r="D187" s="214"/>
      <c r="E187" s="214"/>
      <c r="F187" s="214"/>
      <c r="G187" s="214"/>
    </row>
    <row r="188" spans="1:7" ht="12.75">
      <c r="A188" s="412"/>
      <c r="B188" s="412"/>
      <c r="C188" s="412"/>
      <c r="D188" s="412"/>
      <c r="E188" s="412"/>
      <c r="F188" s="412"/>
      <c r="G188" s="412"/>
    </row>
    <row r="189" ht="12">
      <c r="B189" s="2" t="s">
        <v>194</v>
      </c>
    </row>
    <row r="190" ht="12.75">
      <c r="B190" s="2" t="s">
        <v>153</v>
      </c>
    </row>
    <row r="191" ht="12">
      <c r="B191" s="2" t="s">
        <v>155</v>
      </c>
    </row>
    <row r="192" ht="12.75">
      <c r="B192" s="215" t="s">
        <v>154</v>
      </c>
    </row>
    <row r="199" spans="3:6" ht="12">
      <c r="C199" s="2" t="s">
        <v>13</v>
      </c>
      <c r="F199" s="12"/>
    </row>
    <row r="201" ht="12">
      <c r="C201" s="11" t="s">
        <v>80</v>
      </c>
    </row>
    <row r="202" spans="3:6" ht="12">
      <c r="C202" s="2" t="s">
        <v>15</v>
      </c>
      <c r="F202" s="12"/>
    </row>
    <row r="204" ht="12">
      <c r="C204" s="13" t="s">
        <v>81</v>
      </c>
    </row>
    <row r="205" spans="3:6" ht="15">
      <c r="C205" s="14" t="s">
        <v>16</v>
      </c>
      <c r="F205" s="15"/>
    </row>
    <row r="207" spans="3:6" ht="12">
      <c r="C207" s="3"/>
      <c r="F207" s="8"/>
    </row>
    <row r="209" spans="3:6" ht="12">
      <c r="C209" s="3"/>
      <c r="F209" s="8"/>
    </row>
    <row r="211" spans="3:6" ht="12">
      <c r="C211" s="3"/>
      <c r="F211" s="8"/>
    </row>
    <row r="213" spans="3:6" ht="12">
      <c r="C213" s="3"/>
      <c r="F213" s="18"/>
    </row>
    <row r="215" spans="3:6" ht="12">
      <c r="C215" s="9"/>
      <c r="F215" s="65"/>
    </row>
    <row r="223" spans="3:6" ht="12">
      <c r="C223" s="17"/>
      <c r="D223" s="17"/>
      <c r="E223" s="6"/>
      <c r="F223" s="17"/>
    </row>
    <row r="224" spans="3:6" ht="12">
      <c r="C224" s="3" t="s">
        <v>20</v>
      </c>
      <c r="F224" s="3" t="s">
        <v>21</v>
      </c>
    </row>
    <row r="226" spans="3:6" ht="12">
      <c r="C226" s="17"/>
      <c r="D226" s="17"/>
      <c r="E226" s="6"/>
      <c r="F226" s="17"/>
    </row>
    <row r="227" spans="3:6" ht="12">
      <c r="C227" s="3" t="s">
        <v>22</v>
      </c>
      <c r="F227" s="9" t="s">
        <v>21</v>
      </c>
    </row>
    <row r="230" spans="1:7" ht="12.75">
      <c r="A230" s="412" t="s">
        <v>112</v>
      </c>
      <c r="B230" s="412"/>
      <c r="C230" s="412"/>
      <c r="D230" s="412"/>
      <c r="E230" s="412"/>
      <c r="F230" s="412"/>
      <c r="G230" s="412"/>
    </row>
    <row r="231" spans="1:7" ht="12.75">
      <c r="A231" s="412" t="s">
        <v>210</v>
      </c>
      <c r="B231" s="412"/>
      <c r="C231" s="412"/>
      <c r="D231" s="412"/>
      <c r="E231" s="412"/>
      <c r="F231" s="412"/>
      <c r="G231" s="412"/>
    </row>
    <row r="232" spans="1:7" ht="12.75">
      <c r="A232" s="214"/>
      <c r="B232" s="214"/>
      <c r="C232" s="214"/>
      <c r="D232" s="214"/>
      <c r="E232" s="214"/>
      <c r="F232" s="214"/>
      <c r="G232" s="214"/>
    </row>
    <row r="233" spans="1:7" ht="12.75">
      <c r="A233" s="412"/>
      <c r="B233" s="412"/>
      <c r="C233" s="412"/>
      <c r="D233" s="412"/>
      <c r="E233" s="412"/>
      <c r="F233" s="412"/>
      <c r="G233" s="412"/>
    </row>
    <row r="234" ht="12">
      <c r="B234" s="2" t="s">
        <v>194</v>
      </c>
    </row>
    <row r="235" ht="12.75">
      <c r="B235" s="2" t="s">
        <v>153</v>
      </c>
    </row>
    <row r="236" ht="12">
      <c r="B236" s="2" t="s">
        <v>155</v>
      </c>
    </row>
    <row r="237" ht="12.75">
      <c r="B237" s="215" t="s">
        <v>154</v>
      </c>
    </row>
    <row r="244" spans="3:6" ht="12">
      <c r="C244" s="2" t="s">
        <v>13</v>
      </c>
      <c r="F244" s="12"/>
    </row>
    <row r="246" ht="12">
      <c r="C246" s="11" t="s">
        <v>80</v>
      </c>
    </row>
    <row r="247" spans="3:6" ht="12">
      <c r="C247" s="2" t="s">
        <v>15</v>
      </c>
      <c r="F247" s="12"/>
    </row>
    <row r="249" ht="12">
      <c r="C249" s="13" t="s">
        <v>81</v>
      </c>
    </row>
    <row r="250" spans="3:6" ht="15">
      <c r="C250" s="14" t="s">
        <v>16</v>
      </c>
      <c r="F250" s="15"/>
    </row>
    <row r="252" spans="3:6" ht="12">
      <c r="C252" s="3"/>
      <c r="F252" s="8"/>
    </row>
    <row r="254" spans="3:6" ht="12">
      <c r="C254" s="3"/>
      <c r="F254" s="8"/>
    </row>
    <row r="256" spans="3:6" ht="12">
      <c r="C256" s="3"/>
      <c r="F256" s="5"/>
    </row>
    <row r="258" spans="3:6" ht="12">
      <c r="C258" s="3"/>
      <c r="F258" s="18"/>
    </row>
    <row r="260" spans="3:6" ht="12">
      <c r="C260" s="9"/>
      <c r="F260" s="12"/>
    </row>
    <row r="268" spans="3:6" ht="12">
      <c r="C268" s="17"/>
      <c r="D268" s="17"/>
      <c r="E268" s="6"/>
      <c r="F268" s="17"/>
    </row>
    <row r="269" spans="3:6" ht="12">
      <c r="C269" s="3" t="s">
        <v>20</v>
      </c>
      <c r="F269" s="3" t="s">
        <v>21</v>
      </c>
    </row>
    <row r="271" spans="3:6" ht="12">
      <c r="C271" s="17"/>
      <c r="D271" s="17"/>
      <c r="E271" s="6"/>
      <c r="F271" s="17"/>
    </row>
    <row r="272" spans="3:6" ht="12">
      <c r="C272" s="3" t="s">
        <v>22</v>
      </c>
      <c r="F272" s="3" t="s">
        <v>21</v>
      </c>
    </row>
    <row r="278" spans="1:7" ht="12.75">
      <c r="A278" s="412" t="s">
        <v>152</v>
      </c>
      <c r="B278" s="412"/>
      <c r="C278" s="412"/>
      <c r="D278" s="412"/>
      <c r="E278" s="412"/>
      <c r="F278" s="412"/>
      <c r="G278" s="412"/>
    </row>
    <row r="279" spans="1:7" ht="12.75">
      <c r="A279" s="412" t="s">
        <v>210</v>
      </c>
      <c r="B279" s="412"/>
      <c r="C279" s="412"/>
      <c r="D279" s="412"/>
      <c r="E279" s="412"/>
      <c r="F279" s="412"/>
      <c r="G279" s="412"/>
    </row>
    <row r="280" spans="1:7" ht="12.75">
      <c r="A280" s="214"/>
      <c r="B280" s="214"/>
      <c r="C280" s="214"/>
      <c r="D280" s="214"/>
      <c r="E280" s="214"/>
      <c r="F280" s="214"/>
      <c r="G280" s="214"/>
    </row>
    <row r="281" spans="1:7" ht="12.75">
      <c r="A281" s="412"/>
      <c r="B281" s="412"/>
      <c r="C281" s="412"/>
      <c r="D281" s="412"/>
      <c r="E281" s="412"/>
      <c r="F281" s="412"/>
      <c r="G281" s="412"/>
    </row>
    <row r="282" ht="12">
      <c r="B282" s="2" t="s">
        <v>194</v>
      </c>
    </row>
    <row r="283" ht="12.75">
      <c r="B283" s="2" t="s">
        <v>153</v>
      </c>
    </row>
    <row r="284" ht="12">
      <c r="B284" s="2" t="s">
        <v>155</v>
      </c>
    </row>
    <row r="285" ht="12.75">
      <c r="B285" s="215" t="s">
        <v>154</v>
      </c>
    </row>
    <row r="292" spans="3:6" ht="12">
      <c r="C292" s="2" t="s">
        <v>13</v>
      </c>
      <c r="F292" s="12"/>
    </row>
    <row r="294" ht="12">
      <c r="C294" s="11" t="s">
        <v>80</v>
      </c>
    </row>
    <row r="295" spans="3:6" ht="12">
      <c r="C295" s="2" t="s">
        <v>15</v>
      </c>
      <c r="F295" s="12"/>
    </row>
    <row r="297" ht="12">
      <c r="C297" s="13" t="s">
        <v>81</v>
      </c>
    </row>
    <row r="298" spans="3:6" ht="15">
      <c r="C298" s="14" t="s">
        <v>16</v>
      </c>
      <c r="F298" s="15"/>
    </row>
    <row r="300" spans="3:6" ht="12">
      <c r="C300" s="3"/>
      <c r="F300" s="8"/>
    </row>
    <row r="302" spans="3:6" ht="12">
      <c r="C302" s="3"/>
      <c r="F302" s="8"/>
    </row>
    <row r="304" spans="3:6" ht="12">
      <c r="C304" s="3"/>
      <c r="F304" s="5"/>
    </row>
    <row r="306" spans="3:6" ht="12">
      <c r="C306" s="3"/>
      <c r="F306" s="18"/>
    </row>
    <row r="308" spans="3:6" ht="12">
      <c r="C308" s="9"/>
      <c r="F308" s="12"/>
    </row>
    <row r="316" spans="3:6" ht="12">
      <c r="C316" s="17"/>
      <c r="D316" s="17"/>
      <c r="E316" s="6"/>
      <c r="F316" s="17"/>
    </row>
    <row r="317" spans="3:6" ht="12">
      <c r="C317" s="3" t="s">
        <v>20</v>
      </c>
      <c r="F317" s="3" t="s">
        <v>21</v>
      </c>
    </row>
    <row r="319" spans="3:6" ht="12">
      <c r="C319" s="17"/>
      <c r="D319" s="17"/>
      <c r="E319" s="6"/>
      <c r="F319" s="17"/>
    </row>
    <row r="320" spans="3:6" ht="12">
      <c r="C320" s="3" t="s">
        <v>22</v>
      </c>
      <c r="F320" s="3" t="s">
        <v>21</v>
      </c>
    </row>
    <row r="324" spans="1:8" ht="12.75">
      <c r="A324" s="412" t="s">
        <v>27</v>
      </c>
      <c r="B324" s="412"/>
      <c r="C324" s="412"/>
      <c r="D324" s="412"/>
      <c r="E324" s="412"/>
      <c r="F324" s="412"/>
      <c r="G324" s="412"/>
      <c r="H324" s="75"/>
    </row>
    <row r="325" spans="1:7" ht="12.75">
      <c r="A325" s="412" t="s">
        <v>210</v>
      </c>
      <c r="B325" s="412"/>
      <c r="C325" s="412"/>
      <c r="D325" s="412"/>
      <c r="E325" s="412"/>
      <c r="F325" s="412"/>
      <c r="G325" s="412"/>
    </row>
    <row r="326" spans="1:7" ht="12.75">
      <c r="A326" s="214"/>
      <c r="B326" s="214"/>
      <c r="C326" s="214"/>
      <c r="D326" s="214"/>
      <c r="E326" s="214"/>
      <c r="F326" s="214"/>
      <c r="G326" s="214"/>
    </row>
    <row r="327" spans="1:7" ht="12.75">
      <c r="A327" s="412"/>
      <c r="B327" s="412"/>
      <c r="C327" s="412"/>
      <c r="D327" s="412"/>
      <c r="E327" s="412"/>
      <c r="F327" s="412"/>
      <c r="G327" s="412"/>
    </row>
    <row r="328" ht="12">
      <c r="B328" s="2" t="s">
        <v>194</v>
      </c>
    </row>
    <row r="329" ht="12.75">
      <c r="B329" s="2" t="s">
        <v>153</v>
      </c>
    </row>
    <row r="330" ht="12">
      <c r="B330" s="2" t="s">
        <v>155</v>
      </c>
    </row>
    <row r="331" ht="12.75">
      <c r="B331" s="215" t="s">
        <v>154</v>
      </c>
    </row>
    <row r="338" spans="3:6" ht="12">
      <c r="C338" s="2" t="s">
        <v>13</v>
      </c>
      <c r="F338" s="12"/>
    </row>
    <row r="340" ht="12">
      <c r="C340" s="11" t="s">
        <v>80</v>
      </c>
    </row>
    <row r="341" spans="3:6" ht="12">
      <c r="C341" s="2" t="s">
        <v>15</v>
      </c>
      <c r="F341" s="12"/>
    </row>
    <row r="343" ht="12">
      <c r="C343" s="13" t="s">
        <v>81</v>
      </c>
    </row>
    <row r="344" spans="3:6" ht="15">
      <c r="C344" s="14" t="s">
        <v>16</v>
      </c>
      <c r="F344" s="15"/>
    </row>
    <row r="346" spans="3:6" ht="12">
      <c r="C346" s="3"/>
      <c r="F346" s="8"/>
    </row>
    <row r="348" spans="3:6" ht="12">
      <c r="C348" s="3"/>
      <c r="F348" s="8"/>
    </row>
    <row r="350" spans="3:6" ht="12">
      <c r="C350" s="3"/>
      <c r="F350" s="5"/>
    </row>
    <row r="352" spans="3:6" ht="12">
      <c r="C352" s="3"/>
      <c r="F352" s="18"/>
    </row>
    <row r="354" spans="3:6" ht="12">
      <c r="C354" s="9"/>
      <c r="F354" s="12"/>
    </row>
    <row r="362" spans="3:6" ht="12">
      <c r="C362" s="17"/>
      <c r="D362" s="17"/>
      <c r="E362" s="6"/>
      <c r="F362" s="17"/>
    </row>
    <row r="363" spans="3:6" ht="12">
      <c r="C363" s="3" t="s">
        <v>20</v>
      </c>
      <c r="F363" s="3" t="s">
        <v>21</v>
      </c>
    </row>
    <row r="365" spans="3:6" ht="12">
      <c r="C365" s="17"/>
      <c r="D365" s="17"/>
      <c r="E365" s="6"/>
      <c r="F365" s="17"/>
    </row>
    <row r="366" spans="3:6" ht="12">
      <c r="C366" s="3" t="s">
        <v>22</v>
      </c>
      <c r="F366" s="3" t="s">
        <v>21</v>
      </c>
    </row>
    <row r="370" spans="1:8" ht="12.75">
      <c r="A370" s="412" t="s">
        <v>28</v>
      </c>
      <c r="B370" s="412"/>
      <c r="C370" s="412"/>
      <c r="D370" s="412"/>
      <c r="E370" s="412"/>
      <c r="F370" s="412"/>
      <c r="G370" s="412"/>
      <c r="H370" s="75"/>
    </row>
    <row r="371" spans="1:7" ht="12.75">
      <c r="A371" s="412" t="s">
        <v>210</v>
      </c>
      <c r="B371" s="412"/>
      <c r="C371" s="412"/>
      <c r="D371" s="412"/>
      <c r="E371" s="412"/>
      <c r="F371" s="412"/>
      <c r="G371" s="412"/>
    </row>
    <row r="372" spans="1:7" ht="12.75">
      <c r="A372" s="214"/>
      <c r="B372" s="214"/>
      <c r="C372" s="214"/>
      <c r="D372" s="214"/>
      <c r="E372" s="214"/>
      <c r="F372" s="214"/>
      <c r="G372" s="214"/>
    </row>
    <row r="373" spans="2:7" ht="12">
      <c r="B373" s="1"/>
      <c r="C373" s="1"/>
      <c r="D373" s="1"/>
      <c r="E373" s="1"/>
      <c r="F373" s="1"/>
      <c r="G373" s="1"/>
    </row>
    <row r="374" ht="12">
      <c r="B374" s="2" t="s">
        <v>194</v>
      </c>
    </row>
    <row r="375" ht="12.75">
      <c r="B375" s="2" t="s">
        <v>153</v>
      </c>
    </row>
    <row r="376" ht="12">
      <c r="B376" s="2" t="s">
        <v>155</v>
      </c>
    </row>
    <row r="377" ht="12.75">
      <c r="B377" s="215" t="s">
        <v>154</v>
      </c>
    </row>
    <row r="384" spans="3:6" ht="12">
      <c r="C384" s="2" t="s">
        <v>13</v>
      </c>
      <c r="F384" s="12"/>
    </row>
    <row r="386" ht="12">
      <c r="C386" s="11" t="s">
        <v>80</v>
      </c>
    </row>
    <row r="387" spans="3:6" ht="12">
      <c r="C387" s="2" t="s">
        <v>15</v>
      </c>
      <c r="F387" s="12"/>
    </row>
    <row r="389" ht="12">
      <c r="C389" s="13" t="s">
        <v>81</v>
      </c>
    </row>
    <row r="390" spans="3:6" ht="15">
      <c r="C390" s="14" t="s">
        <v>16</v>
      </c>
      <c r="F390" s="15"/>
    </row>
    <row r="392" spans="3:6" ht="12">
      <c r="C392" s="3"/>
      <c r="F392" s="8"/>
    </row>
    <row r="394" spans="3:6" ht="12">
      <c r="C394" s="3"/>
      <c r="F394" s="8"/>
    </row>
    <row r="396" spans="3:6" ht="12">
      <c r="C396" s="9"/>
      <c r="F396" s="12"/>
    </row>
    <row r="397" ht="12">
      <c r="F397" s="5"/>
    </row>
    <row r="398" spans="3:6" ht="12">
      <c r="C398" s="9"/>
      <c r="F398" s="65"/>
    </row>
    <row r="399" ht="12">
      <c r="F399" s="5"/>
    </row>
    <row r="400" spans="3:6" ht="12">
      <c r="C400" s="9"/>
      <c r="F400" s="65"/>
    </row>
    <row r="408" spans="3:6" ht="12">
      <c r="C408" s="17"/>
      <c r="D408" s="17"/>
      <c r="E408" s="6"/>
      <c r="F408" s="17"/>
    </row>
    <row r="409" spans="3:6" ht="12">
      <c r="C409" s="3" t="s">
        <v>20</v>
      </c>
      <c r="F409" s="3" t="s">
        <v>21</v>
      </c>
    </row>
    <row r="411" spans="3:6" ht="12">
      <c r="C411" s="17"/>
      <c r="D411" s="17"/>
      <c r="E411" s="6"/>
      <c r="F411" s="17"/>
    </row>
    <row r="412" spans="3:6" ht="12">
      <c r="C412" s="3" t="s">
        <v>22</v>
      </c>
      <c r="F412" s="3" t="s">
        <v>21</v>
      </c>
    </row>
    <row r="413" spans="3:6" ht="12">
      <c r="C413" s="3"/>
      <c r="F413" s="3"/>
    </row>
    <row r="414" spans="3:6" ht="12">
      <c r="C414" s="3"/>
      <c r="F414" s="3"/>
    </row>
    <row r="416" spans="1:8" ht="12.75">
      <c r="A416" s="412" t="s">
        <v>114</v>
      </c>
      <c r="B416" s="412"/>
      <c r="C416" s="412"/>
      <c r="D416" s="412"/>
      <c r="E416" s="412"/>
      <c r="F416" s="412"/>
      <c r="G416" s="412"/>
      <c r="H416" s="75"/>
    </row>
    <row r="417" spans="1:7" ht="12.75">
      <c r="A417" s="412" t="s">
        <v>210</v>
      </c>
      <c r="B417" s="412"/>
      <c r="C417" s="412"/>
      <c r="D417" s="412"/>
      <c r="E417" s="412"/>
      <c r="F417" s="412"/>
      <c r="G417" s="412"/>
    </row>
    <row r="418" spans="1:7" ht="12.75">
      <c r="A418" s="214"/>
      <c r="B418" s="214"/>
      <c r="C418" s="214"/>
      <c r="D418" s="214"/>
      <c r="E418" s="214"/>
      <c r="F418" s="214"/>
      <c r="G418" s="214"/>
    </row>
    <row r="419" spans="1:7" ht="12.75">
      <c r="A419" s="214"/>
      <c r="B419" s="214"/>
      <c r="C419" s="214"/>
      <c r="D419" s="214"/>
      <c r="E419" s="214"/>
      <c r="F419" s="214"/>
      <c r="G419" s="214"/>
    </row>
    <row r="420" spans="2:7" ht="12">
      <c r="B420" s="2" t="s">
        <v>194</v>
      </c>
      <c r="C420" s="1"/>
      <c r="D420" s="1"/>
      <c r="E420" s="1"/>
      <c r="F420" s="1"/>
      <c r="G420" s="1"/>
    </row>
    <row r="421" ht="12.75">
      <c r="B421" s="2" t="s">
        <v>153</v>
      </c>
    </row>
    <row r="422" ht="12">
      <c r="B422" s="2" t="s">
        <v>155</v>
      </c>
    </row>
    <row r="423" ht="12.75">
      <c r="B423" s="215" t="s">
        <v>154</v>
      </c>
    </row>
    <row r="431" spans="3:6" ht="12">
      <c r="C431" s="2" t="s">
        <v>13</v>
      </c>
      <c r="F431" s="12"/>
    </row>
    <row r="433" ht="12">
      <c r="C433" s="11" t="s">
        <v>80</v>
      </c>
    </row>
    <row r="434" spans="3:6" ht="12">
      <c r="C434" s="2" t="s">
        <v>15</v>
      </c>
      <c r="F434" s="12"/>
    </row>
    <row r="436" ht="12">
      <c r="C436" s="13" t="s">
        <v>81</v>
      </c>
    </row>
    <row r="437" spans="3:6" ht="15">
      <c r="C437" s="14" t="s">
        <v>16</v>
      </c>
      <c r="F437" s="15"/>
    </row>
    <row r="439" spans="3:6" ht="12">
      <c r="C439" s="3"/>
      <c r="F439" s="8"/>
    </row>
    <row r="441" spans="3:6" ht="12">
      <c r="C441" s="3"/>
      <c r="F441" s="8"/>
    </row>
    <row r="443" spans="3:6" ht="12">
      <c r="C443" s="9"/>
      <c r="F443" s="12"/>
    </row>
    <row r="444" ht="12">
      <c r="F444" s="5"/>
    </row>
    <row r="445" spans="3:6" ht="12">
      <c r="C445" s="9"/>
      <c r="F445" s="65"/>
    </row>
    <row r="446" ht="12">
      <c r="F446" s="5"/>
    </row>
    <row r="447" spans="3:6" ht="12">
      <c r="C447" s="9"/>
      <c r="F447" s="65"/>
    </row>
    <row r="455" spans="3:6" ht="12">
      <c r="C455" s="17"/>
      <c r="D455" s="17"/>
      <c r="E455" s="6"/>
      <c r="F455" s="17"/>
    </row>
    <row r="456" spans="3:6" ht="12">
      <c r="C456" s="3" t="s">
        <v>20</v>
      </c>
      <c r="F456" s="3" t="s">
        <v>21</v>
      </c>
    </row>
    <row r="458" spans="3:6" ht="12">
      <c r="C458" s="17"/>
      <c r="D458" s="17"/>
      <c r="E458" s="6"/>
      <c r="F458" s="17"/>
    </row>
    <row r="459" spans="3:6" ht="12">
      <c r="C459" s="3" t="s">
        <v>22</v>
      </c>
      <c r="F459" s="3" t="s">
        <v>21</v>
      </c>
    </row>
    <row r="464" spans="1:8" ht="12.75">
      <c r="A464" s="412" t="s">
        <v>29</v>
      </c>
      <c r="B464" s="412"/>
      <c r="C464" s="412"/>
      <c r="D464" s="412"/>
      <c r="E464" s="412"/>
      <c r="F464" s="412"/>
      <c r="G464" s="412"/>
      <c r="H464" s="75"/>
    </row>
    <row r="465" spans="1:7" ht="12.75">
      <c r="A465" s="412" t="s">
        <v>210</v>
      </c>
      <c r="B465" s="412"/>
      <c r="C465" s="412"/>
      <c r="D465" s="412"/>
      <c r="E465" s="412"/>
      <c r="F465" s="412"/>
      <c r="G465" s="412"/>
    </row>
    <row r="466" spans="1:7" ht="12.75">
      <c r="A466" s="214"/>
      <c r="B466" s="214"/>
      <c r="C466" s="214"/>
      <c r="D466" s="214"/>
      <c r="E466" s="214"/>
      <c r="F466" s="214"/>
      <c r="G466" s="214"/>
    </row>
    <row r="467" spans="1:7" ht="12.75">
      <c r="A467" s="214"/>
      <c r="B467" s="214"/>
      <c r="C467" s="214"/>
      <c r="D467" s="214"/>
      <c r="E467" s="214"/>
      <c r="F467" s="214"/>
      <c r="G467" s="214"/>
    </row>
    <row r="468" spans="2:7" ht="12">
      <c r="B468" s="2" t="s">
        <v>194</v>
      </c>
      <c r="C468" s="1"/>
      <c r="D468" s="1"/>
      <c r="E468" s="1"/>
      <c r="F468" s="1"/>
      <c r="G468" s="1"/>
    </row>
    <row r="469" ht="12.75">
      <c r="B469" s="2" t="s">
        <v>153</v>
      </c>
    </row>
    <row r="470" ht="12">
      <c r="B470" s="2" t="s">
        <v>155</v>
      </c>
    </row>
    <row r="471" ht="12.75">
      <c r="B471" s="215" t="s">
        <v>154</v>
      </c>
    </row>
    <row r="479" spans="3:6" ht="12">
      <c r="C479" s="2" t="s">
        <v>13</v>
      </c>
      <c r="F479" s="12"/>
    </row>
    <row r="481" ht="12">
      <c r="C481" s="11" t="s">
        <v>80</v>
      </c>
    </row>
    <row r="482" spans="3:6" ht="12">
      <c r="C482" s="2" t="s">
        <v>15</v>
      </c>
      <c r="F482" s="12"/>
    </row>
    <row r="484" ht="12">
      <c r="C484" s="13" t="s">
        <v>81</v>
      </c>
    </row>
    <row r="485" spans="3:6" ht="15">
      <c r="C485" s="14" t="s">
        <v>16</v>
      </c>
      <c r="F485" s="15"/>
    </row>
    <row r="487" spans="3:6" ht="12">
      <c r="C487" s="3"/>
      <c r="F487" s="8"/>
    </row>
    <row r="489" spans="3:6" ht="12">
      <c r="C489" s="3"/>
      <c r="F489" s="8"/>
    </row>
    <row r="491" spans="3:6" ht="12">
      <c r="C491" s="9"/>
      <c r="F491" s="12"/>
    </row>
    <row r="503" spans="3:6" ht="12">
      <c r="C503" s="17"/>
      <c r="D503" s="17"/>
      <c r="E503" s="6"/>
      <c r="F503" s="17"/>
    </row>
    <row r="504" spans="3:6" ht="12">
      <c r="C504" s="3" t="s">
        <v>20</v>
      </c>
      <c r="F504" s="3" t="s">
        <v>21</v>
      </c>
    </row>
    <row r="506" spans="3:6" ht="12">
      <c r="C506" s="17"/>
      <c r="D506" s="17"/>
      <c r="E506" s="6"/>
      <c r="F506" s="17"/>
    </row>
    <row r="507" spans="3:6" ht="12">
      <c r="C507" s="3" t="s">
        <v>22</v>
      </c>
      <c r="F507" s="9" t="s">
        <v>21</v>
      </c>
    </row>
    <row r="511" spans="1:8" ht="12.75">
      <c r="A511" s="412" t="s">
        <v>30</v>
      </c>
      <c r="B511" s="412"/>
      <c r="C511" s="412"/>
      <c r="D511" s="412"/>
      <c r="E511" s="412"/>
      <c r="F511" s="412"/>
      <c r="G511" s="412"/>
      <c r="H511" s="75"/>
    </row>
    <row r="512" spans="1:7" ht="12.75">
      <c r="A512" s="412" t="s">
        <v>210</v>
      </c>
      <c r="B512" s="412"/>
      <c r="C512" s="412"/>
      <c r="D512" s="412"/>
      <c r="E512" s="412"/>
      <c r="F512" s="412"/>
      <c r="G512" s="412"/>
    </row>
    <row r="513" spans="1:7" ht="12.75">
      <c r="A513" s="214"/>
      <c r="B513" s="214"/>
      <c r="C513" s="214"/>
      <c r="D513" s="214"/>
      <c r="E513" s="214"/>
      <c r="F513" s="214"/>
      <c r="G513" s="214"/>
    </row>
    <row r="514" spans="1:7" ht="12.75">
      <c r="A514" s="214"/>
      <c r="B514" s="214"/>
      <c r="C514" s="214"/>
      <c r="D514" s="214"/>
      <c r="E514" s="214"/>
      <c r="F514" s="214"/>
      <c r="G514" s="214"/>
    </row>
    <row r="515" spans="2:7" ht="12">
      <c r="B515" s="2" t="s">
        <v>194</v>
      </c>
      <c r="C515" s="1"/>
      <c r="D515" s="1"/>
      <c r="E515" s="1"/>
      <c r="F515" s="1"/>
      <c r="G515" s="1"/>
    </row>
    <row r="516" ht="12.75">
      <c r="B516" s="2" t="s">
        <v>153</v>
      </c>
    </row>
    <row r="517" ht="12">
      <c r="B517" s="2" t="s">
        <v>155</v>
      </c>
    </row>
    <row r="518" ht="12.75">
      <c r="B518" s="215" t="s">
        <v>154</v>
      </c>
    </row>
    <row r="526" spans="3:6" ht="12">
      <c r="C526" s="2" t="s">
        <v>13</v>
      </c>
      <c r="F526" s="12"/>
    </row>
    <row r="528" ht="12">
      <c r="C528" s="11" t="s">
        <v>80</v>
      </c>
    </row>
    <row r="529" spans="3:6" ht="12">
      <c r="C529" s="2" t="s">
        <v>15</v>
      </c>
      <c r="F529" s="12"/>
    </row>
    <row r="531" ht="12">
      <c r="C531" s="13" t="s">
        <v>81</v>
      </c>
    </row>
    <row r="532" spans="3:6" ht="15">
      <c r="C532" s="14" t="s">
        <v>16</v>
      </c>
      <c r="F532" s="15"/>
    </row>
    <row r="534" spans="3:6" ht="12">
      <c r="C534" s="3"/>
      <c r="F534" s="8"/>
    </row>
    <row r="536" spans="3:6" ht="12">
      <c r="C536" s="3"/>
      <c r="F536" s="8"/>
    </row>
    <row r="538" spans="3:6" ht="12">
      <c r="C538" s="9"/>
      <c r="F538" s="12"/>
    </row>
    <row r="550" spans="3:6" ht="12">
      <c r="C550" s="17"/>
      <c r="D550" s="17"/>
      <c r="E550" s="6"/>
      <c r="F550" s="17"/>
    </row>
    <row r="551" spans="3:6" ht="12">
      <c r="C551" s="3" t="s">
        <v>20</v>
      </c>
      <c r="F551" s="3" t="s">
        <v>21</v>
      </c>
    </row>
    <row r="553" spans="3:6" ht="12">
      <c r="C553" s="17"/>
      <c r="D553" s="17"/>
      <c r="E553" s="6"/>
      <c r="F553" s="17"/>
    </row>
    <row r="554" spans="3:6" ht="12">
      <c r="C554" s="3" t="s">
        <v>22</v>
      </c>
      <c r="F554" s="3" t="s">
        <v>21</v>
      </c>
    </row>
    <row r="558" spans="1:8" ht="12.75">
      <c r="A558" s="412" t="s">
        <v>31</v>
      </c>
      <c r="B558" s="412"/>
      <c r="C558" s="412"/>
      <c r="D558" s="412"/>
      <c r="E558" s="412"/>
      <c r="F558" s="412"/>
      <c r="G558" s="412"/>
      <c r="H558" s="75"/>
    </row>
    <row r="559" spans="1:7" ht="12.75">
      <c r="A559" s="412" t="s">
        <v>210</v>
      </c>
      <c r="B559" s="412"/>
      <c r="C559" s="412"/>
      <c r="D559" s="412"/>
      <c r="E559" s="412"/>
      <c r="F559" s="412"/>
      <c r="G559" s="412"/>
    </row>
    <row r="560" spans="1:7" ht="12.75">
      <c r="A560" s="214"/>
      <c r="B560" s="214"/>
      <c r="C560" s="214"/>
      <c r="D560" s="214"/>
      <c r="E560" s="214"/>
      <c r="F560" s="214"/>
      <c r="G560" s="214"/>
    </row>
    <row r="561" spans="1:7" ht="12.75">
      <c r="A561" s="214"/>
      <c r="B561" s="214"/>
      <c r="C561" s="214"/>
      <c r="D561" s="214"/>
      <c r="E561" s="214"/>
      <c r="F561" s="214"/>
      <c r="G561" s="214"/>
    </row>
    <row r="562" spans="2:7" ht="12">
      <c r="B562" s="2" t="s">
        <v>194</v>
      </c>
      <c r="C562" s="1"/>
      <c r="D562" s="1"/>
      <c r="E562" s="1"/>
      <c r="F562" s="1"/>
      <c r="G562" s="1"/>
    </row>
    <row r="563" ht="12.75">
      <c r="B563" s="2" t="s">
        <v>153</v>
      </c>
    </row>
    <row r="564" ht="12">
      <c r="B564" s="2" t="s">
        <v>155</v>
      </c>
    </row>
    <row r="565" ht="12.75">
      <c r="B565" s="215" t="s">
        <v>154</v>
      </c>
    </row>
    <row r="573" spans="3:6" ht="12">
      <c r="C573" s="2" t="s">
        <v>13</v>
      </c>
      <c r="F573" s="12">
        <v>16077760</v>
      </c>
    </row>
    <row r="575" ht="12">
      <c r="C575" s="11" t="s">
        <v>80</v>
      </c>
    </row>
    <row r="576" spans="3:6" ht="12">
      <c r="C576" s="2" t="s">
        <v>15</v>
      </c>
      <c r="F576" s="12">
        <v>16077760</v>
      </c>
    </row>
    <row r="578" ht="12">
      <c r="C578" s="13" t="s">
        <v>81</v>
      </c>
    </row>
    <row r="579" spans="3:6" ht="15">
      <c r="C579" s="14" t="s">
        <v>16</v>
      </c>
      <c r="F579" s="15">
        <v>16076720</v>
      </c>
    </row>
    <row r="581" spans="3:6" ht="12">
      <c r="C581" s="3"/>
      <c r="F581" s="8"/>
    </row>
    <row r="583" spans="3:6" ht="12">
      <c r="C583" s="3"/>
      <c r="F583" s="8"/>
    </row>
    <row r="585" spans="3:6" ht="12">
      <c r="C585" s="9"/>
      <c r="F585" s="8"/>
    </row>
    <row r="587" spans="3:6" ht="12">
      <c r="C587" s="9"/>
      <c r="F587" s="65"/>
    </row>
    <row r="588" ht="12">
      <c r="F588" s="65"/>
    </row>
    <row r="589" spans="3:6" ht="12">
      <c r="C589" s="9"/>
      <c r="F589" s="65"/>
    </row>
    <row r="590" ht="12">
      <c r="F590" s="65"/>
    </row>
    <row r="591" spans="3:6" ht="12">
      <c r="C591" s="9"/>
      <c r="F591" s="65"/>
    </row>
    <row r="597" spans="3:6" ht="12">
      <c r="C597" s="79"/>
      <c r="D597" s="17"/>
      <c r="E597" s="6"/>
      <c r="F597" s="17"/>
    </row>
    <row r="598" spans="3:6" ht="12">
      <c r="C598" s="6" t="s">
        <v>20</v>
      </c>
      <c r="F598" s="6" t="s">
        <v>21</v>
      </c>
    </row>
    <row r="600" spans="3:6" ht="12">
      <c r="C600" s="79"/>
      <c r="D600" s="17"/>
      <c r="E600" s="6"/>
      <c r="F600" s="79"/>
    </row>
    <row r="601" spans="3:6" ht="12">
      <c r="C601" s="6" t="s">
        <v>22</v>
      </c>
      <c r="F601" s="6" t="s">
        <v>21</v>
      </c>
    </row>
    <row r="605" spans="1:8" ht="12.75">
      <c r="A605" s="412" t="s">
        <v>91</v>
      </c>
      <c r="B605" s="412"/>
      <c r="C605" s="412"/>
      <c r="D605" s="412"/>
      <c r="E605" s="412"/>
      <c r="F605" s="412"/>
      <c r="G605" s="412"/>
      <c r="H605" s="75"/>
    </row>
    <row r="606" spans="1:7" ht="12.75">
      <c r="A606" s="412" t="s">
        <v>210</v>
      </c>
      <c r="B606" s="412"/>
      <c r="C606" s="412"/>
      <c r="D606" s="412"/>
      <c r="E606" s="412"/>
      <c r="F606" s="412"/>
      <c r="G606" s="412"/>
    </row>
    <row r="607" spans="1:7" ht="12.75">
      <c r="A607" s="214"/>
      <c r="B607" s="214"/>
      <c r="C607" s="214"/>
      <c r="D607" s="214"/>
      <c r="E607" s="214"/>
      <c r="F607" s="214"/>
      <c r="G607" s="214"/>
    </row>
    <row r="608" spans="1:7" ht="12.75">
      <c r="A608" s="214"/>
      <c r="B608" s="214"/>
      <c r="C608" s="214"/>
      <c r="D608" s="214"/>
      <c r="E608" s="214"/>
      <c r="F608" s="214"/>
      <c r="G608" s="214"/>
    </row>
    <row r="609" spans="2:7" ht="12">
      <c r="B609" s="2" t="s">
        <v>194</v>
      </c>
      <c r="C609" s="1"/>
      <c r="D609" s="1"/>
      <c r="E609" s="1"/>
      <c r="F609" s="1"/>
      <c r="G609" s="1"/>
    </row>
    <row r="610" ht="12.75">
      <c r="B610" s="2" t="s">
        <v>153</v>
      </c>
    </row>
    <row r="611" ht="12">
      <c r="B611" s="2" t="s">
        <v>155</v>
      </c>
    </row>
    <row r="612" ht="12.75">
      <c r="B612" s="215" t="s">
        <v>154</v>
      </c>
    </row>
    <row r="620" spans="3:6" ht="12">
      <c r="C620" s="2" t="s">
        <v>13</v>
      </c>
      <c r="F620" s="12"/>
    </row>
    <row r="622" ht="12">
      <c r="C622" s="11" t="s">
        <v>80</v>
      </c>
    </row>
    <row r="623" spans="3:6" ht="12">
      <c r="C623" s="2" t="s">
        <v>15</v>
      </c>
      <c r="F623" s="12"/>
    </row>
    <row r="625" ht="12">
      <c r="C625" s="13" t="s">
        <v>81</v>
      </c>
    </row>
    <row r="626" spans="3:6" ht="15">
      <c r="C626" s="14" t="s">
        <v>16</v>
      </c>
      <c r="F626" s="15"/>
    </row>
    <row r="628" spans="3:6" ht="12">
      <c r="C628" s="3"/>
      <c r="F628" s="8"/>
    </row>
    <row r="630" spans="3:6" ht="12">
      <c r="C630" s="3"/>
      <c r="F630" s="8"/>
    </row>
    <row r="632" spans="3:6" ht="12">
      <c r="C632" s="9"/>
      <c r="F632" s="12"/>
    </row>
    <row r="633" ht="12">
      <c r="F633" s="65"/>
    </row>
    <row r="634" spans="3:6" ht="12">
      <c r="C634" s="9"/>
      <c r="F634" s="65"/>
    </row>
    <row r="635" ht="12">
      <c r="F635" s="65"/>
    </row>
    <row r="636" spans="3:6" ht="12">
      <c r="C636" s="9"/>
      <c r="F636" s="65"/>
    </row>
    <row r="638" spans="3:6" ht="12">
      <c r="C638" s="9"/>
      <c r="F638" s="12"/>
    </row>
    <row r="644" spans="3:6" ht="12">
      <c r="C644" s="17"/>
      <c r="D644" s="17"/>
      <c r="E644" s="6"/>
      <c r="F644" s="17"/>
    </row>
    <row r="645" spans="3:6" ht="12">
      <c r="C645" s="3" t="s">
        <v>20</v>
      </c>
      <c r="F645" s="3" t="s">
        <v>21</v>
      </c>
    </row>
    <row r="647" spans="3:6" ht="12">
      <c r="C647" s="17"/>
      <c r="D647" s="17"/>
      <c r="E647" s="6"/>
      <c r="F647" s="17"/>
    </row>
    <row r="648" spans="3:6" ht="12">
      <c r="C648" s="3" t="s">
        <v>22</v>
      </c>
      <c r="F648" s="3" t="s">
        <v>21</v>
      </c>
    </row>
    <row r="652" spans="1:8" ht="12.75">
      <c r="A652" s="412" t="s">
        <v>90</v>
      </c>
      <c r="B652" s="412"/>
      <c r="C652" s="412"/>
      <c r="D652" s="412"/>
      <c r="E652" s="412"/>
      <c r="F652" s="412"/>
      <c r="G652" s="412"/>
      <c r="H652" s="75"/>
    </row>
    <row r="653" spans="1:7" ht="12.75">
      <c r="A653" s="412" t="s">
        <v>210</v>
      </c>
      <c r="B653" s="412"/>
      <c r="C653" s="412"/>
      <c r="D653" s="412"/>
      <c r="E653" s="412"/>
      <c r="F653" s="412"/>
      <c r="G653" s="412"/>
    </row>
    <row r="654" spans="1:7" ht="12.75">
      <c r="A654" s="214"/>
      <c r="B654" s="214"/>
      <c r="C654" s="214"/>
      <c r="D654" s="214"/>
      <c r="E654" s="214"/>
      <c r="F654" s="214"/>
      <c r="G654" s="214"/>
    </row>
    <row r="655" spans="1:7" ht="12.75">
      <c r="A655" s="214"/>
      <c r="B655" s="214"/>
      <c r="C655" s="214"/>
      <c r="D655" s="214"/>
      <c r="E655" s="214"/>
      <c r="F655" s="214"/>
      <c r="G655" s="214"/>
    </row>
    <row r="656" spans="2:7" ht="12">
      <c r="B656" s="2" t="s">
        <v>194</v>
      </c>
      <c r="C656" s="1"/>
      <c r="D656" s="1"/>
      <c r="E656" s="1"/>
      <c r="F656" s="1"/>
      <c r="G656" s="1"/>
    </row>
    <row r="657" ht="12.75">
      <c r="B657" s="2" t="s">
        <v>153</v>
      </c>
    </row>
    <row r="658" ht="12">
      <c r="B658" s="2" t="s">
        <v>155</v>
      </c>
    </row>
    <row r="659" ht="12.75">
      <c r="B659" s="215" t="s">
        <v>154</v>
      </c>
    </row>
    <row r="667" spans="3:6" ht="12">
      <c r="C667" s="2" t="s">
        <v>13</v>
      </c>
      <c r="F667" s="12"/>
    </row>
    <row r="669" ht="12">
      <c r="C669" s="11" t="s">
        <v>80</v>
      </c>
    </row>
    <row r="670" spans="3:6" ht="12">
      <c r="C670" s="2" t="s">
        <v>15</v>
      </c>
      <c r="F670" s="12"/>
    </row>
    <row r="672" ht="12">
      <c r="C672" s="13" t="s">
        <v>81</v>
      </c>
    </row>
    <row r="673" spans="3:6" ht="15">
      <c r="C673" s="14" t="s">
        <v>16</v>
      </c>
      <c r="F673" s="15"/>
    </row>
    <row r="675" spans="3:6" ht="12">
      <c r="C675" s="3"/>
      <c r="F675" s="8"/>
    </row>
    <row r="677" spans="3:6" ht="12">
      <c r="C677" s="3"/>
      <c r="F677" s="8"/>
    </row>
    <row r="679" spans="3:6" ht="12">
      <c r="C679" s="9"/>
      <c r="F679" s="12"/>
    </row>
    <row r="680" ht="12">
      <c r="F680" s="65"/>
    </row>
    <row r="681" spans="3:6" ht="12">
      <c r="C681" s="9"/>
      <c r="F681" s="65"/>
    </row>
    <row r="682" ht="12">
      <c r="F682" s="65"/>
    </row>
    <row r="683" spans="3:6" ht="12">
      <c r="C683" s="9"/>
      <c r="F683" s="65"/>
    </row>
    <row r="684" ht="12">
      <c r="F684" s="5"/>
    </row>
    <row r="685" ht="12">
      <c r="F685" s="12"/>
    </row>
    <row r="691" spans="3:6" ht="12">
      <c r="C691" s="17"/>
      <c r="D691" s="17"/>
      <c r="E691" s="6"/>
      <c r="F691" s="17"/>
    </row>
    <row r="692" spans="3:6" ht="12">
      <c r="C692" s="3" t="s">
        <v>20</v>
      </c>
      <c r="F692" s="3" t="s">
        <v>21</v>
      </c>
    </row>
    <row r="694" spans="3:6" ht="12">
      <c r="C694" s="17"/>
      <c r="D694" s="17"/>
      <c r="E694" s="6"/>
      <c r="F694" s="17"/>
    </row>
    <row r="695" spans="3:6" ht="12">
      <c r="C695" s="6" t="s">
        <v>22</v>
      </c>
      <c r="D695" s="6"/>
      <c r="E695" s="6"/>
      <c r="F695" s="6" t="s">
        <v>21</v>
      </c>
    </row>
    <row r="696" spans="3:6" ht="12">
      <c r="C696" s="6"/>
      <c r="D696" s="6"/>
      <c r="E696" s="6"/>
      <c r="F696" s="6"/>
    </row>
    <row r="697" spans="3:6" ht="12">
      <c r="C697" s="6"/>
      <c r="D697" s="6"/>
      <c r="E697" s="6"/>
      <c r="F697" s="6"/>
    </row>
    <row r="698" ht="12">
      <c r="F698" s="82"/>
    </row>
    <row r="699" spans="1:8" ht="12.75">
      <c r="A699" s="412" t="s">
        <v>89</v>
      </c>
      <c r="B699" s="412"/>
      <c r="C699" s="412"/>
      <c r="D699" s="412"/>
      <c r="E699" s="412"/>
      <c r="F699" s="412"/>
      <c r="G699" s="412"/>
      <c r="H699" s="75"/>
    </row>
    <row r="700" spans="1:7" ht="12.75">
      <c r="A700" s="412" t="s">
        <v>210</v>
      </c>
      <c r="B700" s="412"/>
      <c r="C700" s="412"/>
      <c r="D700" s="412"/>
      <c r="E700" s="412"/>
      <c r="F700" s="412"/>
      <c r="G700" s="412"/>
    </row>
    <row r="701" spans="1:7" ht="12.75">
      <c r="A701" s="214"/>
      <c r="B701" s="214"/>
      <c r="C701" s="214"/>
      <c r="D701" s="214"/>
      <c r="E701" s="214"/>
      <c r="F701" s="214"/>
      <c r="G701" s="214"/>
    </row>
    <row r="702" spans="1:7" ht="12.75">
      <c r="A702" s="214"/>
      <c r="B702" s="214"/>
      <c r="C702" s="214"/>
      <c r="D702" s="214"/>
      <c r="E702" s="214"/>
      <c r="F702" s="214"/>
      <c r="G702" s="214"/>
    </row>
    <row r="703" spans="2:7" ht="12">
      <c r="B703" s="2" t="s">
        <v>194</v>
      </c>
      <c r="C703" s="1"/>
      <c r="D703" s="1"/>
      <c r="E703" s="1"/>
      <c r="F703" s="1"/>
      <c r="G703" s="1"/>
    </row>
    <row r="704" ht="12.75">
      <c r="B704" s="2" t="s">
        <v>153</v>
      </c>
    </row>
    <row r="705" ht="12">
      <c r="B705" s="2" t="s">
        <v>155</v>
      </c>
    </row>
    <row r="706" ht="12.75">
      <c r="B706" s="215" t="s">
        <v>154</v>
      </c>
    </row>
    <row r="714" spans="3:6" ht="12">
      <c r="C714" s="2" t="s">
        <v>13</v>
      </c>
      <c r="F714" s="12"/>
    </row>
    <row r="716" ht="12">
      <c r="C716" s="11" t="s">
        <v>80</v>
      </c>
    </row>
    <row r="717" spans="3:6" ht="12">
      <c r="C717" s="2" t="s">
        <v>15</v>
      </c>
      <c r="F717" s="12"/>
    </row>
    <row r="719" ht="12">
      <c r="C719" s="13" t="s">
        <v>81</v>
      </c>
    </row>
    <row r="720" spans="3:6" ht="15">
      <c r="C720" s="14" t="s">
        <v>16</v>
      </c>
      <c r="F720" s="15"/>
    </row>
    <row r="722" spans="3:6" ht="12">
      <c r="C722" s="3"/>
      <c r="F722" s="8"/>
    </row>
    <row r="724" spans="3:6" ht="12">
      <c r="C724" s="3"/>
      <c r="F724" s="8"/>
    </row>
    <row r="726" spans="3:6" ht="12">
      <c r="C726" s="9"/>
      <c r="F726" s="12"/>
    </row>
    <row r="727" ht="12">
      <c r="F727" s="65"/>
    </row>
    <row r="728" spans="3:6" ht="12">
      <c r="C728" s="9"/>
      <c r="F728" s="65"/>
    </row>
    <row r="729" ht="12">
      <c r="F729" s="65"/>
    </row>
    <row r="730" spans="3:6" ht="12">
      <c r="C730" s="9"/>
      <c r="F730" s="65"/>
    </row>
    <row r="732" ht="12">
      <c r="F732" s="12"/>
    </row>
    <row r="738" spans="3:6" ht="12">
      <c r="C738" s="17"/>
      <c r="D738" s="17"/>
      <c r="E738" s="6"/>
      <c r="F738" s="17"/>
    </row>
    <row r="739" spans="3:6" ht="12">
      <c r="C739" s="3" t="s">
        <v>20</v>
      </c>
      <c r="F739" s="3" t="s">
        <v>21</v>
      </c>
    </row>
    <row r="741" spans="3:6" ht="12">
      <c r="C741" s="17"/>
      <c r="D741" s="17"/>
      <c r="E741" s="6"/>
      <c r="F741" s="17"/>
    </row>
    <row r="742" spans="3:6" ht="12">
      <c r="C742" s="3" t="s">
        <v>22</v>
      </c>
      <c r="F742" s="3" t="s">
        <v>21</v>
      </c>
    </row>
    <row r="746" spans="1:8" ht="12.75">
      <c r="A746" s="412" t="s">
        <v>79</v>
      </c>
      <c r="B746" s="412"/>
      <c r="C746" s="412"/>
      <c r="D746" s="412"/>
      <c r="E746" s="412"/>
      <c r="F746" s="412"/>
      <c r="G746" s="412"/>
      <c r="H746" s="75"/>
    </row>
    <row r="747" spans="1:7" ht="12.75">
      <c r="A747" s="412" t="s">
        <v>210</v>
      </c>
      <c r="B747" s="412"/>
      <c r="C747" s="412"/>
      <c r="D747" s="412"/>
      <c r="E747" s="412"/>
      <c r="F747" s="412"/>
      <c r="G747" s="412"/>
    </row>
    <row r="748" spans="3:7" ht="12">
      <c r="C748" s="1"/>
      <c r="D748" s="1"/>
      <c r="E748" s="1"/>
      <c r="F748" s="1"/>
      <c r="G748" s="1"/>
    </row>
    <row r="750" ht="12">
      <c r="B750" s="2" t="s">
        <v>194</v>
      </c>
    </row>
    <row r="751" ht="12.75">
      <c r="B751" s="2" t="s">
        <v>153</v>
      </c>
    </row>
    <row r="752" ht="12">
      <c r="B752" s="2" t="s">
        <v>155</v>
      </c>
    </row>
    <row r="753" ht="12.75">
      <c r="B753" s="215" t="s">
        <v>154</v>
      </c>
    </row>
    <row r="759" spans="3:6" ht="12">
      <c r="C759" s="2" t="s">
        <v>13</v>
      </c>
      <c r="F759" s="12"/>
    </row>
    <row r="761" ht="12">
      <c r="C761" s="11" t="s">
        <v>80</v>
      </c>
    </row>
    <row r="762" spans="3:6" ht="12">
      <c r="C762" s="2" t="s">
        <v>15</v>
      </c>
      <c r="F762" s="12"/>
    </row>
    <row r="764" ht="12">
      <c r="C764" s="13" t="s">
        <v>81</v>
      </c>
    </row>
    <row r="765" spans="3:6" ht="15">
      <c r="C765" s="14" t="s">
        <v>16</v>
      </c>
      <c r="F765" s="15"/>
    </row>
    <row r="767" spans="3:6" ht="12">
      <c r="C767" s="3"/>
      <c r="F767" s="8"/>
    </row>
    <row r="769" spans="3:6" ht="12">
      <c r="C769" s="3"/>
      <c r="F769" s="8"/>
    </row>
    <row r="771" spans="3:6" ht="12">
      <c r="C771" s="9"/>
      <c r="F771" s="12"/>
    </row>
    <row r="772" ht="12">
      <c r="F772" s="65"/>
    </row>
    <row r="773" spans="3:6" ht="12">
      <c r="C773" s="9"/>
      <c r="F773" s="65"/>
    </row>
    <row r="774" ht="12">
      <c r="F774" s="65"/>
    </row>
    <row r="775" spans="3:6" ht="12">
      <c r="C775" s="9"/>
      <c r="F775" s="65"/>
    </row>
    <row r="777" ht="12">
      <c r="F777" s="12"/>
    </row>
    <row r="783" spans="3:6" ht="12">
      <c r="C783" s="17"/>
      <c r="D783" s="17"/>
      <c r="E783" s="6"/>
      <c r="F783" s="17"/>
    </row>
    <row r="784" spans="3:6" ht="12">
      <c r="C784" s="3" t="s">
        <v>20</v>
      </c>
      <c r="F784" s="3" t="s">
        <v>21</v>
      </c>
    </row>
    <row r="786" spans="3:6" ht="12">
      <c r="C786" s="17"/>
      <c r="D786" s="17"/>
      <c r="E786" s="6"/>
      <c r="F786" s="17"/>
    </row>
    <row r="787" spans="3:6" ht="12">
      <c r="C787" s="3" t="s">
        <v>22</v>
      </c>
      <c r="F787" s="9" t="s">
        <v>21</v>
      </c>
    </row>
    <row r="792" spans="1:7" ht="12.75">
      <c r="A792" s="412" t="s">
        <v>186</v>
      </c>
      <c r="B792" s="412"/>
      <c r="C792" s="412"/>
      <c r="D792" s="412"/>
      <c r="E792" s="412"/>
      <c r="F792" s="412"/>
      <c r="G792" s="412"/>
    </row>
    <row r="793" spans="1:7" ht="12.75">
      <c r="A793" s="412" t="s">
        <v>210</v>
      </c>
      <c r="B793" s="412"/>
      <c r="C793" s="412"/>
      <c r="D793" s="412"/>
      <c r="E793" s="412"/>
      <c r="F793" s="412"/>
      <c r="G793" s="412"/>
    </row>
    <row r="794" spans="3:7" ht="12">
      <c r="C794" s="1"/>
      <c r="D794" s="1"/>
      <c r="E794" s="1"/>
      <c r="F794" s="1"/>
      <c r="G794" s="1"/>
    </row>
    <row r="796" ht="12">
      <c r="B796" s="2" t="s">
        <v>194</v>
      </c>
    </row>
    <row r="797" ht="12.75">
      <c r="B797" s="2" t="s">
        <v>153</v>
      </c>
    </row>
    <row r="798" ht="12">
      <c r="B798" s="2" t="s">
        <v>155</v>
      </c>
    </row>
    <row r="799" ht="12.75">
      <c r="B799" s="215" t="s">
        <v>154</v>
      </c>
    </row>
    <row r="805" spans="3:6" ht="12">
      <c r="C805" s="2" t="s">
        <v>13</v>
      </c>
      <c r="F805" s="12">
        <v>16077760</v>
      </c>
    </row>
    <row r="807" ht="12">
      <c r="C807" s="11" t="s">
        <v>80</v>
      </c>
    </row>
    <row r="808" spans="3:6" ht="12">
      <c r="C808" s="2" t="s">
        <v>15</v>
      </c>
      <c r="F808" s="12">
        <v>16077760</v>
      </c>
    </row>
    <row r="810" ht="12">
      <c r="C810" s="13" t="s">
        <v>81</v>
      </c>
    </row>
    <row r="811" spans="3:6" ht="15">
      <c r="C811" s="14" t="s">
        <v>16</v>
      </c>
      <c r="F811" s="15">
        <v>16076720</v>
      </c>
    </row>
    <row r="813" spans="3:6" ht="12">
      <c r="C813" s="3"/>
      <c r="F813" s="8"/>
    </row>
    <row r="815" spans="3:6" ht="12">
      <c r="C815" s="3"/>
      <c r="F815" s="8"/>
    </row>
    <row r="817" spans="3:6" ht="12">
      <c r="C817" s="9"/>
      <c r="F817" s="12"/>
    </row>
    <row r="818" ht="12">
      <c r="F818" s="65"/>
    </row>
    <row r="819" spans="3:6" ht="12">
      <c r="C819" s="9"/>
      <c r="F819" s="65"/>
    </row>
    <row r="820" ht="12">
      <c r="F820" s="65"/>
    </row>
    <row r="821" spans="3:6" ht="12">
      <c r="C821" s="9"/>
      <c r="F821" s="65"/>
    </row>
    <row r="823" ht="12">
      <c r="F823" s="12"/>
    </row>
    <row r="829" spans="3:6" ht="12">
      <c r="C829" s="17"/>
      <c r="D829" s="17"/>
      <c r="E829" s="6"/>
      <c r="F829" s="17"/>
    </row>
    <row r="830" spans="3:6" ht="12">
      <c r="C830" s="3" t="s">
        <v>20</v>
      </c>
      <c r="F830" s="3" t="s">
        <v>21</v>
      </c>
    </row>
    <row r="832" spans="3:6" ht="12">
      <c r="C832" s="17"/>
      <c r="D832" s="17"/>
      <c r="E832" s="6"/>
      <c r="F832" s="17"/>
    </row>
    <row r="833" spans="3:6" ht="12">
      <c r="C833" s="3" t="s">
        <v>22</v>
      </c>
      <c r="F833" s="9" t="s">
        <v>21</v>
      </c>
    </row>
  </sheetData>
  <sheetProtection/>
  <mergeCells count="44">
    <mergeCell ref="A48:G48"/>
    <mergeCell ref="A94:G94"/>
    <mergeCell ref="A140:G140"/>
    <mergeCell ref="A93:G93"/>
    <mergeCell ref="A231:G231"/>
    <mergeCell ref="A279:G279"/>
    <mergeCell ref="A142:G142"/>
    <mergeCell ref="A230:G230"/>
    <mergeCell ref="A96:G96"/>
    <mergeCell ref="A139:G139"/>
    <mergeCell ref="A370:G370"/>
    <mergeCell ref="A511:G511"/>
    <mergeCell ref="A417:G417"/>
    <mergeCell ref="A185:G185"/>
    <mergeCell ref="A188:G188"/>
    <mergeCell ref="A281:G281"/>
    <mergeCell ref="A324:G324"/>
    <mergeCell ref="A2:G2"/>
    <mergeCell ref="A4:G4"/>
    <mergeCell ref="A47:G47"/>
    <mergeCell ref="A50:G50"/>
    <mergeCell ref="A3:G3"/>
    <mergeCell ref="A465:G465"/>
    <mergeCell ref="A371:G371"/>
    <mergeCell ref="A327:G327"/>
    <mergeCell ref="A416:G416"/>
    <mergeCell ref="A464:G464"/>
    <mergeCell ref="A792:G792"/>
    <mergeCell ref="A793:G793"/>
    <mergeCell ref="A233:G233"/>
    <mergeCell ref="A186:G186"/>
    <mergeCell ref="A325:G325"/>
    <mergeCell ref="A278:G278"/>
    <mergeCell ref="A746:G746"/>
    <mergeCell ref="A699:G699"/>
    <mergeCell ref="A558:G558"/>
    <mergeCell ref="A605:G605"/>
    <mergeCell ref="A700:G700"/>
    <mergeCell ref="A747:G747"/>
    <mergeCell ref="A512:G512"/>
    <mergeCell ref="A559:G559"/>
    <mergeCell ref="A606:G606"/>
    <mergeCell ref="A653:G653"/>
    <mergeCell ref="A652:G652"/>
  </mergeCells>
  <printOptions/>
  <pageMargins left="0.75" right="0.75" top="1" bottom="1" header="0.5" footer="0.5"/>
  <pageSetup horizontalDpi="600" verticalDpi="600" orientation="portrait" r:id="rId2"/>
  <rowBreaks count="16" manualBreakCount="16">
    <brk id="44" max="255" man="1"/>
    <brk id="90" max="255" man="1"/>
    <brk id="136" max="255" man="1"/>
    <brk id="182" max="255" man="1"/>
    <brk id="228" max="255" man="1"/>
    <brk id="274" max="255" man="1"/>
    <brk id="321" max="255" man="1"/>
    <brk id="367" max="255" man="1"/>
    <brk id="413" max="255" man="1"/>
    <brk id="460" max="255" man="1"/>
    <brk id="508" max="255" man="1"/>
    <brk id="555" max="255" man="1"/>
    <brk id="602" max="255" man="1"/>
    <brk id="649" max="255" man="1"/>
    <brk id="697" max="255" man="1"/>
    <brk id="7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3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17.140625" style="22" customWidth="1"/>
    <col min="2" max="2" width="13.140625" style="22" customWidth="1"/>
    <col min="3" max="3" width="12.8515625" style="22" customWidth="1"/>
    <col min="4" max="4" width="6.7109375" style="22" customWidth="1"/>
    <col min="5" max="5" width="12.57421875" style="22" customWidth="1"/>
    <col min="6" max="6" width="12.7109375" style="22" customWidth="1"/>
    <col min="7" max="7" width="6.8515625" style="22" customWidth="1"/>
    <col min="8" max="9" width="12.8515625" style="22" customWidth="1"/>
    <col min="10" max="10" width="7.140625" style="22" customWidth="1"/>
    <col min="11" max="11" width="6.8515625" style="22" customWidth="1"/>
    <col min="12" max="16384" width="9.140625" style="22" customWidth="1"/>
  </cols>
  <sheetData>
    <row r="1" spans="1:10" ht="11.25">
      <c r="A1" s="20" t="s">
        <v>0</v>
      </c>
      <c r="B1" s="21" t="s">
        <v>32</v>
      </c>
      <c r="C1" s="21"/>
      <c r="D1" s="21"/>
      <c r="E1" s="21" t="s">
        <v>33</v>
      </c>
      <c r="F1" s="21"/>
      <c r="G1" s="21"/>
      <c r="H1" s="21" t="s">
        <v>34</v>
      </c>
      <c r="I1" s="21"/>
      <c r="J1" s="21"/>
    </row>
    <row r="2" spans="1:11" ht="11.25">
      <c r="A2" s="22" t="s">
        <v>35</v>
      </c>
      <c r="B2" s="22" t="s">
        <v>92</v>
      </c>
      <c r="C2" s="22" t="s">
        <v>98</v>
      </c>
      <c r="D2" s="23" t="s">
        <v>67</v>
      </c>
      <c r="E2" s="22" t="str">
        <f>B2</f>
        <v>2005 Certified</v>
      </c>
      <c r="F2" s="22" t="str">
        <f>C2</f>
        <v>2006 Certified</v>
      </c>
      <c r="G2" s="23" t="s">
        <v>67</v>
      </c>
      <c r="H2" s="23" t="s">
        <v>93</v>
      </c>
      <c r="I2" s="23" t="s">
        <v>99</v>
      </c>
      <c r="J2" s="23" t="s">
        <v>67</v>
      </c>
      <c r="K2" s="23" t="s">
        <v>71</v>
      </c>
    </row>
    <row r="4" spans="1:11" ht="11.25">
      <c r="A4" s="22" t="s">
        <v>36</v>
      </c>
      <c r="B4" s="24">
        <v>0</v>
      </c>
      <c r="C4" s="24">
        <v>0</v>
      </c>
      <c r="E4" s="24">
        <v>43872470</v>
      </c>
      <c r="F4" s="24">
        <v>48293620</v>
      </c>
      <c r="G4" s="25">
        <f>(F4-E4)/E4</f>
        <v>0.10077276250915437</v>
      </c>
      <c r="H4" s="24">
        <f>C4+E4</f>
        <v>43872470</v>
      </c>
      <c r="I4" s="24">
        <f aca="true" t="shared" si="0" ref="I4:I15">C4+F4</f>
        <v>48293620</v>
      </c>
      <c r="J4" s="25">
        <f>(I4-H4)/H4</f>
        <v>0.10077276250915437</v>
      </c>
      <c r="K4" s="56">
        <f>I4/I15</f>
        <v>0.22567067859025697</v>
      </c>
    </row>
    <row r="5" spans="1:11" ht="11.25">
      <c r="A5" s="22" t="s">
        <v>37</v>
      </c>
      <c r="B5" s="24">
        <v>0</v>
      </c>
      <c r="C5" s="24">
        <v>0</v>
      </c>
      <c r="E5" s="24">
        <v>0</v>
      </c>
      <c r="F5" s="24">
        <v>0</v>
      </c>
      <c r="G5" s="25"/>
      <c r="H5" s="24">
        <f>C5+E5</f>
        <v>0</v>
      </c>
      <c r="I5" s="24">
        <f t="shared" si="0"/>
        <v>0</v>
      </c>
      <c r="J5" s="25"/>
      <c r="K5" s="56">
        <f>I5/I15</f>
        <v>0</v>
      </c>
    </row>
    <row r="6" spans="1:11" ht="11.25">
      <c r="A6" s="22" t="s">
        <v>38</v>
      </c>
      <c r="B6" s="24">
        <v>0</v>
      </c>
      <c r="C6" s="24">
        <v>0</v>
      </c>
      <c r="E6" s="24">
        <v>1580500</v>
      </c>
      <c r="F6" s="24">
        <v>1422930</v>
      </c>
      <c r="G6" s="25">
        <f>(F6-E6)/E6</f>
        <v>-0.09969629863967099</v>
      </c>
      <c r="H6" s="24">
        <f>C6+E6</f>
        <v>1580500</v>
      </c>
      <c r="I6" s="24">
        <f t="shared" si="0"/>
        <v>1422930</v>
      </c>
      <c r="J6" s="25">
        <f aca="true" t="shared" si="1" ref="J6:J12">(I6-H6)/H6</f>
        <v>-0.09969629863967099</v>
      </c>
      <c r="K6" s="56">
        <f>I6/I15</f>
        <v>0.006649192557659466</v>
      </c>
    </row>
    <row r="7" spans="1:11" ht="11.25">
      <c r="A7" s="22" t="s">
        <v>39</v>
      </c>
      <c r="B7" s="24">
        <v>0</v>
      </c>
      <c r="C7" s="24">
        <v>0</v>
      </c>
      <c r="E7" s="24">
        <v>38943460</v>
      </c>
      <c r="F7" s="24">
        <f>26472130+17242450</f>
        <v>43714580</v>
      </c>
      <c r="G7" s="25">
        <f>(F7-E7)/E7</f>
        <v>0.12251402417761545</v>
      </c>
      <c r="H7" s="24">
        <f>C7+E7</f>
        <v>38943460</v>
      </c>
      <c r="I7" s="24">
        <f t="shared" si="0"/>
        <v>43714580</v>
      </c>
      <c r="J7" s="25">
        <f t="shared" si="1"/>
        <v>0.12251402417761545</v>
      </c>
      <c r="K7" s="56">
        <f>I7/I15</f>
        <v>0.20427333740746864</v>
      </c>
    </row>
    <row r="8" spans="1:11" ht="11.25">
      <c r="A8" s="22" t="s">
        <v>40</v>
      </c>
      <c r="B8" s="24">
        <v>0</v>
      </c>
      <c r="C8" s="24">
        <v>0</v>
      </c>
      <c r="E8" s="24">
        <v>624880</v>
      </c>
      <c r="F8" s="24">
        <v>768550</v>
      </c>
      <c r="G8" s="25">
        <f>(F8-E8)/E8</f>
        <v>0.22991614389962872</v>
      </c>
      <c r="H8" s="24">
        <f>C8+E8</f>
        <v>624880</v>
      </c>
      <c r="I8" s="24">
        <f t="shared" si="0"/>
        <v>768550</v>
      </c>
      <c r="J8" s="25">
        <f t="shared" si="1"/>
        <v>0.22991614389962872</v>
      </c>
      <c r="K8" s="56">
        <f>I8/I15</f>
        <v>0.003591348091746736</v>
      </c>
    </row>
    <row r="9" spans="1:11" ht="11.25">
      <c r="A9" s="22" t="s">
        <v>41</v>
      </c>
      <c r="B9" s="24">
        <v>62408320</v>
      </c>
      <c r="C9" s="24">
        <v>99168020</v>
      </c>
      <c r="D9" s="25">
        <f>(C9-B9)/B9</f>
        <v>0.5890192205141879</v>
      </c>
      <c r="E9" s="24">
        <v>0</v>
      </c>
      <c r="F9" s="24">
        <v>0</v>
      </c>
      <c r="G9" s="25"/>
      <c r="H9" s="24">
        <f aca="true" t="shared" si="2" ref="H9:H15">B9+E9</f>
        <v>62408320</v>
      </c>
      <c r="I9" s="24">
        <f t="shared" si="0"/>
        <v>99168020</v>
      </c>
      <c r="J9" s="25">
        <f t="shared" si="1"/>
        <v>0.5890192205141879</v>
      </c>
      <c r="K9" s="56">
        <f>I9/I15</f>
        <v>0.46340105313812</v>
      </c>
    </row>
    <row r="10" spans="1:11" ht="11.25">
      <c r="A10" s="22" t="s">
        <v>42</v>
      </c>
      <c r="B10" s="24"/>
      <c r="C10" s="24"/>
      <c r="D10" s="25"/>
      <c r="E10" s="24">
        <v>13340</v>
      </c>
      <c r="F10" s="24">
        <v>12360</v>
      </c>
      <c r="G10" s="25">
        <f>(F10-E10)/E10</f>
        <v>-0.0734632683658171</v>
      </c>
      <c r="H10" s="24">
        <f t="shared" si="2"/>
        <v>13340</v>
      </c>
      <c r="I10" s="24">
        <f t="shared" si="0"/>
        <v>12360</v>
      </c>
      <c r="J10" s="25">
        <f t="shared" si="1"/>
        <v>-0.0734632683658171</v>
      </c>
      <c r="K10" s="56">
        <f>I10/I15</f>
        <v>5.775689599113871E-05</v>
      </c>
    </row>
    <row r="11" spans="1:11" ht="11.25">
      <c r="A11" s="22" t="s">
        <v>43</v>
      </c>
      <c r="B11" s="24">
        <v>13438170</v>
      </c>
      <c r="C11" s="24">
        <v>12819730</v>
      </c>
      <c r="D11" s="25">
        <f>(C11-B11)/B11</f>
        <v>-0.04602114722465931</v>
      </c>
      <c r="E11" s="24">
        <v>1068750</v>
      </c>
      <c r="F11" s="24">
        <v>1363290</v>
      </c>
      <c r="G11" s="25">
        <f>(F11-E11)/E11</f>
        <v>0.27559298245614033</v>
      </c>
      <c r="H11" s="24">
        <f t="shared" si="2"/>
        <v>14506920</v>
      </c>
      <c r="I11" s="24">
        <f t="shared" si="0"/>
        <v>14183020</v>
      </c>
      <c r="J11" s="25">
        <f t="shared" si="1"/>
        <v>-0.022327275534710332</v>
      </c>
      <c r="K11" s="56">
        <f>I11/I15</f>
        <v>0.06627566431878966</v>
      </c>
    </row>
    <row r="12" spans="1:11" ht="11.25">
      <c r="A12" s="22" t="s">
        <v>44</v>
      </c>
      <c r="B12" s="24">
        <v>0</v>
      </c>
      <c r="C12" s="24">
        <v>0</v>
      </c>
      <c r="D12" s="25"/>
      <c r="E12" s="24">
        <v>6504900</v>
      </c>
      <c r="F12" s="24">
        <v>4976790</v>
      </c>
      <c r="G12" s="25">
        <f>(F12-E12)/E12</f>
        <v>-0.23491675506156898</v>
      </c>
      <c r="H12" s="24">
        <f t="shared" si="2"/>
        <v>6504900</v>
      </c>
      <c r="I12" s="24">
        <f t="shared" si="0"/>
        <v>4976790</v>
      </c>
      <c r="J12" s="25">
        <f t="shared" si="1"/>
        <v>-0.23491675506156898</v>
      </c>
      <c r="K12" s="56">
        <f>I12/I15</f>
        <v>0.02325598239480091</v>
      </c>
    </row>
    <row r="13" spans="1:11" ht="11.25">
      <c r="A13" s="22" t="s">
        <v>45</v>
      </c>
      <c r="B13" s="24">
        <v>0</v>
      </c>
      <c r="C13" s="24">
        <v>0</v>
      </c>
      <c r="D13" s="25"/>
      <c r="E13" s="24">
        <v>72920</v>
      </c>
      <c r="F13" s="24">
        <v>125670</v>
      </c>
      <c r="G13" s="25"/>
      <c r="H13" s="24">
        <f t="shared" si="2"/>
        <v>72920</v>
      </c>
      <c r="I13" s="24">
        <f t="shared" si="0"/>
        <v>125670</v>
      </c>
      <c r="J13" s="25">
        <v>0</v>
      </c>
      <c r="K13" s="56">
        <f>I13/I15</f>
        <v>0.0005872418381234953</v>
      </c>
    </row>
    <row r="14" spans="1:11" ht="11.25">
      <c r="A14" s="22" t="s">
        <v>46</v>
      </c>
      <c r="B14" s="24">
        <v>3270</v>
      </c>
      <c r="C14" s="24">
        <v>0</v>
      </c>
      <c r="D14" s="25"/>
      <c r="E14" s="24">
        <v>1264100</v>
      </c>
      <c r="F14" s="24">
        <v>1334880</v>
      </c>
      <c r="G14" s="25">
        <f>(F14-E14)/E14</f>
        <v>0.05599240566410885</v>
      </c>
      <c r="H14" s="24">
        <f t="shared" si="2"/>
        <v>1267370</v>
      </c>
      <c r="I14" s="24">
        <f t="shared" si="0"/>
        <v>1334880</v>
      </c>
      <c r="J14" s="26">
        <f aca="true" t="shared" si="3" ref="J14:J20">(I14-H14)/H14</f>
        <v>0.05326779077933042</v>
      </c>
      <c r="K14" s="64">
        <f>I14/I15</f>
        <v>0.00623774476704298</v>
      </c>
    </row>
    <row r="15" spans="1:11" ht="11.25">
      <c r="A15" s="27" t="s">
        <v>47</v>
      </c>
      <c r="B15" s="28">
        <f>SUM(B9:B14)</f>
        <v>75849760</v>
      </c>
      <c r="C15" s="28">
        <f>SUM(C4:C14)</f>
        <v>111987750</v>
      </c>
      <c r="D15" s="29">
        <f>(C15-B15)/B15</f>
        <v>0.4764417184708297</v>
      </c>
      <c r="E15" s="28">
        <f>SUM(E4:E14)</f>
        <v>93945320</v>
      </c>
      <c r="F15" s="28">
        <f>SUM(F4:F14)</f>
        <v>102012670</v>
      </c>
      <c r="G15" s="29">
        <f>(F15-E15)/E15</f>
        <v>0.085872824745288</v>
      </c>
      <c r="H15" s="28">
        <f t="shared" si="2"/>
        <v>169795080</v>
      </c>
      <c r="I15" s="28">
        <f t="shared" si="0"/>
        <v>214000420</v>
      </c>
      <c r="J15" s="30">
        <f t="shared" si="3"/>
        <v>0.26034523497382844</v>
      </c>
      <c r="K15" s="25">
        <f>SUM(K4:K14)</f>
        <v>1</v>
      </c>
    </row>
    <row r="16" spans="1:10" ht="11.25">
      <c r="A16" s="31" t="s">
        <v>73</v>
      </c>
      <c r="B16" s="32"/>
      <c r="C16" s="32"/>
      <c r="D16" s="33"/>
      <c r="E16" s="32"/>
      <c r="H16" s="76">
        <v>-307550</v>
      </c>
      <c r="I16" s="76">
        <v>-311160</v>
      </c>
      <c r="J16" s="25">
        <f t="shared" si="3"/>
        <v>0.01173792879206633</v>
      </c>
    </row>
    <row r="17" spans="1:10" ht="11.25">
      <c r="A17" s="31" t="s">
        <v>70</v>
      </c>
      <c r="B17" s="32"/>
      <c r="C17" s="32"/>
      <c r="D17" s="33"/>
      <c r="E17" s="32"/>
      <c r="F17" s="48"/>
      <c r="H17" s="67">
        <v>-967270</v>
      </c>
      <c r="I17" s="67">
        <v>-1169290</v>
      </c>
      <c r="J17" s="25">
        <f t="shared" si="3"/>
        <v>0.2088558520371768</v>
      </c>
    </row>
    <row r="18" spans="1:10" ht="11.25">
      <c r="A18" s="31" t="s">
        <v>49</v>
      </c>
      <c r="B18" s="32"/>
      <c r="C18" s="32"/>
      <c r="D18" s="33"/>
      <c r="E18" s="32"/>
      <c r="H18" s="67">
        <v>-12809130</v>
      </c>
      <c r="I18" s="67">
        <v>-14039750</v>
      </c>
      <c r="J18" s="25">
        <f t="shared" si="3"/>
        <v>0.09607365995973184</v>
      </c>
    </row>
    <row r="19" spans="1:10" ht="11.25">
      <c r="A19" s="27" t="s">
        <v>50</v>
      </c>
      <c r="B19" s="34"/>
      <c r="C19" s="34"/>
      <c r="D19" s="35"/>
      <c r="E19" s="34"/>
      <c r="F19" s="36"/>
      <c r="G19" s="36"/>
      <c r="H19" s="37">
        <f>SUM(H15:H18)</f>
        <v>155711130</v>
      </c>
      <c r="I19" s="37">
        <f>SUM(I15:I18)</f>
        <v>198480220</v>
      </c>
      <c r="J19" s="30">
        <f t="shared" si="3"/>
        <v>0.27466944720008135</v>
      </c>
    </row>
    <row r="20" spans="1:10" ht="11.25">
      <c r="A20" s="31" t="s">
        <v>77</v>
      </c>
      <c r="B20" s="32"/>
      <c r="C20" s="32"/>
      <c r="D20" s="33"/>
      <c r="E20" s="32"/>
      <c r="H20" s="68">
        <v>-4780</v>
      </c>
      <c r="I20" s="68">
        <v>-1540</v>
      </c>
      <c r="J20" s="25">
        <f t="shared" si="3"/>
        <v>-0.6778242677824268</v>
      </c>
    </row>
    <row r="21" spans="1:10" ht="11.25">
      <c r="A21" s="31" t="s">
        <v>78</v>
      </c>
      <c r="B21" s="32"/>
      <c r="C21" s="32"/>
      <c r="D21" s="33"/>
      <c r="E21" s="32"/>
      <c r="H21" s="38">
        <v>0</v>
      </c>
      <c r="I21" s="38">
        <v>0</v>
      </c>
      <c r="J21" s="25"/>
    </row>
    <row r="22" spans="1:10" ht="11.25">
      <c r="A22" s="31" t="s">
        <v>51</v>
      </c>
      <c r="B22" s="32"/>
      <c r="C22" s="32"/>
      <c r="D22" s="33"/>
      <c r="E22" s="32"/>
      <c r="H22" s="38">
        <v>0</v>
      </c>
      <c r="I22" s="38">
        <v>0</v>
      </c>
      <c r="J22" s="25"/>
    </row>
    <row r="23" spans="1:10" ht="11.25">
      <c r="A23" s="31" t="s">
        <v>52</v>
      </c>
      <c r="B23" s="32"/>
      <c r="C23" s="32"/>
      <c r="D23" s="33"/>
      <c r="E23" s="32"/>
      <c r="H23" s="67">
        <v>-1285390</v>
      </c>
      <c r="I23" s="67">
        <f>-1354810-6490</f>
        <v>-1361300</v>
      </c>
      <c r="J23" s="25">
        <f aca="true" t="shared" si="4" ref="J23:J29">(I23-H23)/H23</f>
        <v>0.05905600634826784</v>
      </c>
    </row>
    <row r="24" spans="1:10" ht="11.25">
      <c r="A24" s="31" t="s">
        <v>53</v>
      </c>
      <c r="B24" s="32"/>
      <c r="C24" s="32"/>
      <c r="D24" s="33"/>
      <c r="E24" s="32"/>
      <c r="H24" s="67">
        <v>-9389820</v>
      </c>
      <c r="I24" s="67">
        <f>-7304320-2427000</f>
        <v>-9731320</v>
      </c>
      <c r="J24" s="25">
        <f t="shared" si="4"/>
        <v>0.03636917427597121</v>
      </c>
    </row>
    <row r="25" spans="1:10" ht="11.25">
      <c r="A25" s="31" t="s">
        <v>54</v>
      </c>
      <c r="B25" s="32"/>
      <c r="C25" s="32"/>
      <c r="D25" s="33"/>
      <c r="E25" s="32"/>
      <c r="H25" s="67">
        <v>-1253044</v>
      </c>
      <c r="I25" s="67">
        <f>-57380-1223034</f>
        <v>-1280414</v>
      </c>
      <c r="J25" s="25">
        <f t="shared" si="4"/>
        <v>0.021842808393001362</v>
      </c>
    </row>
    <row r="26" spans="1:10" ht="11.25">
      <c r="A26" s="31" t="s">
        <v>55</v>
      </c>
      <c r="B26" s="32"/>
      <c r="C26" s="32"/>
      <c r="D26" s="33"/>
      <c r="E26" s="32"/>
      <c r="H26" s="67">
        <v>-190268</v>
      </c>
      <c r="I26" s="67">
        <f>-40000-214496</f>
        <v>-254496</v>
      </c>
      <c r="J26" s="25">
        <f t="shared" si="4"/>
        <v>0.33756595959383606</v>
      </c>
    </row>
    <row r="27" spans="1:10" ht="11.25">
      <c r="A27" s="31" t="s">
        <v>56</v>
      </c>
      <c r="B27" s="32"/>
      <c r="C27" s="32"/>
      <c r="D27" s="33"/>
      <c r="E27" s="32"/>
      <c r="H27" s="67">
        <v>-257544</v>
      </c>
      <c r="I27" s="67">
        <v>-287610</v>
      </c>
      <c r="J27" s="25">
        <f t="shared" si="4"/>
        <v>0.1167412170347591</v>
      </c>
    </row>
    <row r="28" spans="1:10" ht="11.25">
      <c r="A28" s="31" t="s">
        <v>57</v>
      </c>
      <c r="B28" s="32"/>
      <c r="C28" s="32"/>
      <c r="D28" s="33"/>
      <c r="E28" s="32"/>
      <c r="H28" s="67">
        <v>-10056246</v>
      </c>
      <c r="I28" s="67">
        <f>-8533704-2622268</f>
        <v>-11155972</v>
      </c>
      <c r="J28" s="25">
        <f t="shared" si="4"/>
        <v>0.10935750776184273</v>
      </c>
    </row>
    <row r="29" spans="1:10" ht="11.25">
      <c r="A29" s="31" t="s">
        <v>58</v>
      </c>
      <c r="B29" s="32"/>
      <c r="C29" s="32"/>
      <c r="D29" s="33"/>
      <c r="E29" s="32"/>
      <c r="H29" s="67">
        <v>-325840</v>
      </c>
      <c r="I29" s="67">
        <f>-12000-339304</f>
        <v>-351304</v>
      </c>
      <c r="J29" s="25">
        <f t="shared" si="4"/>
        <v>0.07814878467959735</v>
      </c>
    </row>
    <row r="30" spans="1:10" ht="11.25">
      <c r="A30" s="31" t="s">
        <v>59</v>
      </c>
      <c r="B30" s="32"/>
      <c r="C30" s="32"/>
      <c r="D30" s="33"/>
      <c r="E30" s="32"/>
      <c r="H30" s="38"/>
      <c r="I30" s="38"/>
      <c r="J30" s="25"/>
    </row>
    <row r="31" spans="1:10" ht="11.25">
      <c r="A31" s="27" t="s">
        <v>60</v>
      </c>
      <c r="B31" s="36"/>
      <c r="C31" s="36"/>
      <c r="D31" s="36"/>
      <c r="E31" s="36"/>
      <c r="F31" s="36"/>
      <c r="G31" s="36"/>
      <c r="H31" s="37">
        <f>SUM(H19:H29)</f>
        <v>132948198</v>
      </c>
      <c r="I31" s="37">
        <f>SUM(I19:I29)</f>
        <v>174056264</v>
      </c>
      <c r="J31" s="30">
        <f>(I31-H31)/H31</f>
        <v>0.3092036343358336</v>
      </c>
    </row>
    <row r="32" spans="1:10" ht="11.25">
      <c r="A32" s="39" t="s">
        <v>61</v>
      </c>
      <c r="B32" s="40"/>
      <c r="C32" s="40"/>
      <c r="D32" s="40"/>
      <c r="E32" s="41">
        <v>4606912</v>
      </c>
      <c r="F32" s="41">
        <v>5877776</v>
      </c>
      <c r="G32" s="42">
        <f>(F32-E32)/E32</f>
        <v>0.27586027256435547</v>
      </c>
      <c r="H32" s="43" t="s">
        <v>95</v>
      </c>
      <c r="I32" s="44">
        <f>12819730+98850370</f>
        <v>111670100</v>
      </c>
      <c r="J32" s="45"/>
    </row>
    <row r="33" spans="1:10" ht="11.25">
      <c r="A33" s="39" t="s">
        <v>19</v>
      </c>
      <c r="B33" s="40"/>
      <c r="C33" s="40"/>
      <c r="D33" s="40"/>
      <c r="E33" s="46">
        <v>37387.62</v>
      </c>
      <c r="F33" s="46">
        <v>46799.93</v>
      </c>
      <c r="G33" s="42">
        <f>(F33-E33)/E33</f>
        <v>0.25174937586291923</v>
      </c>
      <c r="H33" s="43" t="s">
        <v>96</v>
      </c>
      <c r="I33" s="44">
        <v>62386164</v>
      </c>
      <c r="J33" s="45"/>
    </row>
    <row r="34" spans="1:11" ht="11.25">
      <c r="A34" s="39" t="s">
        <v>100</v>
      </c>
      <c r="B34" s="40"/>
      <c r="C34" s="40"/>
      <c r="D34" s="40"/>
      <c r="E34" s="60">
        <v>1.536</v>
      </c>
      <c r="F34" s="60">
        <v>1.16656</v>
      </c>
      <c r="G34" s="42">
        <f>(F34-E34)/E34</f>
        <v>-0.24052083333333332</v>
      </c>
      <c r="H34" s="44"/>
      <c r="I34" s="47">
        <f>SUM(I32:I33)</f>
        <v>174056264</v>
      </c>
      <c r="J34" s="45"/>
      <c r="K34" s="48"/>
    </row>
    <row r="35" spans="1:10" ht="11.25">
      <c r="A35" s="39" t="s">
        <v>62</v>
      </c>
      <c r="B35" s="40"/>
      <c r="C35" s="40"/>
      <c r="D35" s="40"/>
      <c r="E35" s="40"/>
      <c r="F35" s="40"/>
      <c r="G35" s="40"/>
      <c r="H35" s="44">
        <f>(H31-E32)*E34/100+E33</f>
        <v>2008709.7729600002</v>
      </c>
      <c r="I35" s="44">
        <f>(I31-F32)*F34/100+F33</f>
        <v>2008702.8996128002</v>
      </c>
      <c r="J35" s="42">
        <f>(I35-H35)/H35</f>
        <v>-3.4217721706302917E-06</v>
      </c>
    </row>
    <row r="36" spans="1:10" ht="11.25">
      <c r="A36" s="39" t="s">
        <v>18</v>
      </c>
      <c r="B36" s="40"/>
      <c r="C36" s="40"/>
      <c r="D36" s="40"/>
      <c r="E36" s="40"/>
      <c r="F36" s="40"/>
      <c r="G36" s="40"/>
      <c r="H36" s="44">
        <v>3018404</v>
      </c>
      <c r="I36" s="44">
        <v>2093314</v>
      </c>
      <c r="J36" s="42">
        <f>(I36-H36)/H36</f>
        <v>-0.30648316129981273</v>
      </c>
    </row>
    <row r="37" spans="1:10" ht="11.25">
      <c r="A37" s="39" t="s">
        <v>17</v>
      </c>
      <c r="B37" s="40"/>
      <c r="C37" s="40"/>
      <c r="D37" s="40"/>
      <c r="E37" s="40"/>
      <c r="F37" s="40"/>
      <c r="G37" s="40"/>
      <c r="H37" s="44">
        <v>26038</v>
      </c>
      <c r="I37" s="44">
        <f>2793+23481+61</f>
        <v>26335</v>
      </c>
      <c r="J37" s="42">
        <f>(I37-H37)/H37</f>
        <v>0.011406406021967894</v>
      </c>
    </row>
    <row r="38" spans="1:10" ht="11.25">
      <c r="A38" s="20" t="s">
        <v>1</v>
      </c>
      <c r="B38" s="21" t="s">
        <v>32</v>
      </c>
      <c r="C38" s="21"/>
      <c r="D38" s="21"/>
      <c r="E38" s="21" t="s">
        <v>33</v>
      </c>
      <c r="F38" s="21"/>
      <c r="G38" s="21"/>
      <c r="H38" s="21" t="s">
        <v>34</v>
      </c>
      <c r="I38" s="21"/>
      <c r="J38" s="21"/>
    </row>
    <row r="39" spans="1:11" ht="11.25">
      <c r="A39" s="22" t="s">
        <v>35</v>
      </c>
      <c r="B39" s="22" t="str">
        <f>B2</f>
        <v>2005 Certified</v>
      </c>
      <c r="C39" s="22" t="str">
        <f>C2</f>
        <v>2006 Certified</v>
      </c>
      <c r="D39" s="23" t="s">
        <v>67</v>
      </c>
      <c r="E39" s="22" t="str">
        <f>B39</f>
        <v>2005 Certified</v>
      </c>
      <c r="F39" s="22" t="str">
        <f>C39</f>
        <v>2006 Certified</v>
      </c>
      <c r="G39" s="23" t="s">
        <v>67</v>
      </c>
      <c r="H39" s="23" t="str">
        <f>H2</f>
        <v>2005 Total</v>
      </c>
      <c r="I39" s="23" t="str">
        <f>I2</f>
        <v>2006 Total</v>
      </c>
      <c r="J39" s="23" t="s">
        <v>67</v>
      </c>
      <c r="K39" s="23" t="s">
        <v>71</v>
      </c>
    </row>
    <row r="41" spans="1:11" ht="11.25">
      <c r="A41" s="22" t="s">
        <v>36</v>
      </c>
      <c r="B41" s="24">
        <v>0</v>
      </c>
      <c r="C41" s="24">
        <v>0</v>
      </c>
      <c r="E41" s="24">
        <v>426167050</v>
      </c>
      <c r="F41" s="24">
        <v>472133580</v>
      </c>
      <c r="G41" s="25">
        <f>(F41-E41)/E41</f>
        <v>0.107860356637145</v>
      </c>
      <c r="H41" s="24">
        <f aca="true" t="shared" si="5" ref="H41:I51">B41+E41</f>
        <v>426167050</v>
      </c>
      <c r="I41" s="24">
        <f t="shared" si="5"/>
        <v>472133580</v>
      </c>
      <c r="J41" s="25">
        <f aca="true" t="shared" si="6" ref="J41:J58">(I41-H41)/H41</f>
        <v>0.107860356637145</v>
      </c>
      <c r="K41" s="56">
        <f>I41/I52</f>
        <v>0.19804168613962542</v>
      </c>
    </row>
    <row r="42" spans="1:11" ht="11.25">
      <c r="A42" s="22" t="s">
        <v>37</v>
      </c>
      <c r="B42" s="24">
        <v>0</v>
      </c>
      <c r="C42" s="24">
        <v>0</v>
      </c>
      <c r="E42" s="24">
        <v>6348210</v>
      </c>
      <c r="F42" s="24">
        <v>7295270</v>
      </c>
      <c r="G42" s="25">
        <f>(F42-E42)/E42</f>
        <v>0.14918536091276124</v>
      </c>
      <c r="H42" s="24">
        <f t="shared" si="5"/>
        <v>6348210</v>
      </c>
      <c r="I42" s="24">
        <f t="shared" si="5"/>
        <v>7295270</v>
      </c>
      <c r="J42" s="25">
        <f t="shared" si="6"/>
        <v>0.14918536091276124</v>
      </c>
      <c r="K42" s="56">
        <f>I42/I52</f>
        <v>0.00306008221580813</v>
      </c>
    </row>
    <row r="43" spans="1:11" ht="11.25">
      <c r="A43" s="22" t="s">
        <v>38</v>
      </c>
      <c r="B43" s="24">
        <v>0</v>
      </c>
      <c r="C43" s="24">
        <v>0</v>
      </c>
      <c r="E43" s="24">
        <v>9512960</v>
      </c>
      <c r="F43" s="24">
        <v>12450680</v>
      </c>
      <c r="G43" s="25">
        <f>(F43-E43)/E43</f>
        <v>0.30881239908503766</v>
      </c>
      <c r="H43" s="24">
        <f t="shared" si="5"/>
        <v>9512960</v>
      </c>
      <c r="I43" s="24">
        <f t="shared" si="5"/>
        <v>12450680</v>
      </c>
      <c r="J43" s="25">
        <f t="shared" si="6"/>
        <v>0.30881239908503766</v>
      </c>
      <c r="K43" s="56">
        <f>I43/I52</f>
        <v>0.00522257633270845</v>
      </c>
    </row>
    <row r="44" spans="1:11" ht="11.25">
      <c r="A44" s="22" t="s">
        <v>39</v>
      </c>
      <c r="B44" s="24">
        <v>0</v>
      </c>
      <c r="C44" s="24">
        <v>0</v>
      </c>
      <c r="E44" s="24">
        <v>124519820</v>
      </c>
      <c r="F44" s="24">
        <f>72098780+68937750</f>
        <v>141036530</v>
      </c>
      <c r="G44" s="25">
        <f>(F44-E44)/E44</f>
        <v>0.13264322097478137</v>
      </c>
      <c r="H44" s="24">
        <f t="shared" si="5"/>
        <v>124519820</v>
      </c>
      <c r="I44" s="24">
        <f t="shared" si="5"/>
        <v>141036530</v>
      </c>
      <c r="J44" s="25">
        <f t="shared" si="6"/>
        <v>0.13264322097478137</v>
      </c>
      <c r="K44" s="56">
        <f>I44/I52</f>
        <v>0.05915934259215763</v>
      </c>
    </row>
    <row r="45" spans="1:11" ht="11.25">
      <c r="A45" s="22" t="s">
        <v>40</v>
      </c>
      <c r="B45" s="24">
        <v>0</v>
      </c>
      <c r="C45" s="24">
        <v>0</v>
      </c>
      <c r="D45" s="25"/>
      <c r="E45" s="24">
        <v>85791280</v>
      </c>
      <c r="F45" s="24">
        <v>88979570</v>
      </c>
      <c r="G45" s="25">
        <f>(F45-E45)/E45</f>
        <v>0.037163334082438215</v>
      </c>
      <c r="H45" s="24">
        <f t="shared" si="5"/>
        <v>85791280</v>
      </c>
      <c r="I45" s="24">
        <f t="shared" si="5"/>
        <v>88979570</v>
      </c>
      <c r="J45" s="25">
        <f t="shared" si="6"/>
        <v>0.037163334082438215</v>
      </c>
      <c r="K45" s="56">
        <f>I45/I52</f>
        <v>0.03732347119808515</v>
      </c>
    </row>
    <row r="46" spans="1:11" ht="11.25">
      <c r="A46" s="22" t="s">
        <v>41</v>
      </c>
      <c r="B46" s="24">
        <v>112523610</v>
      </c>
      <c r="C46" s="24">
        <v>171944970</v>
      </c>
      <c r="D46" s="25">
        <f>(C46-B46)/B46</f>
        <v>0.5280790404787049</v>
      </c>
      <c r="E46" s="24">
        <v>0</v>
      </c>
      <c r="F46" s="24">
        <v>0</v>
      </c>
      <c r="G46" s="25"/>
      <c r="H46" s="24">
        <f t="shared" si="5"/>
        <v>112523610</v>
      </c>
      <c r="I46" s="24">
        <f t="shared" si="5"/>
        <v>171944970</v>
      </c>
      <c r="J46" s="25">
        <f t="shared" si="6"/>
        <v>0.5280790404787049</v>
      </c>
      <c r="K46" s="56">
        <f>I46/I52</f>
        <v>0.07212423183715784</v>
      </c>
    </row>
    <row r="47" spans="1:11" ht="11.25">
      <c r="A47" s="22" t="s">
        <v>42</v>
      </c>
      <c r="B47" s="24"/>
      <c r="C47" s="24"/>
      <c r="D47" s="25"/>
      <c r="E47" s="24">
        <v>1404510</v>
      </c>
      <c r="F47" s="24">
        <v>1327750</v>
      </c>
      <c r="G47" s="25">
        <f aca="true" t="shared" si="7" ref="G47:G52">(F47-E47)/E47</f>
        <v>-0.054652512264063625</v>
      </c>
      <c r="H47" s="24">
        <f t="shared" si="5"/>
        <v>1404510</v>
      </c>
      <c r="I47" s="24">
        <f t="shared" si="5"/>
        <v>1327750</v>
      </c>
      <c r="J47" s="25">
        <f t="shared" si="6"/>
        <v>-0.054652512264063625</v>
      </c>
      <c r="K47" s="56">
        <f>I47/I52</f>
        <v>0.0005569395186249783</v>
      </c>
    </row>
    <row r="48" spans="1:11" ht="11.25">
      <c r="A48" s="22" t="s">
        <v>43</v>
      </c>
      <c r="B48" s="24">
        <v>1308312830</v>
      </c>
      <c r="C48" s="24">
        <v>1391566880</v>
      </c>
      <c r="D48" s="25">
        <f>(C48-B48)/B48</f>
        <v>0.06363466603014205</v>
      </c>
      <c r="E48" s="24">
        <v>48188610</v>
      </c>
      <c r="F48" s="24">
        <f>58472680+1827280</f>
        <v>60299960</v>
      </c>
      <c r="G48" s="25">
        <f t="shared" si="7"/>
        <v>0.251332213151614</v>
      </c>
      <c r="H48" s="24">
        <f t="shared" si="5"/>
        <v>1356501440</v>
      </c>
      <c r="I48" s="24">
        <f t="shared" si="5"/>
        <v>1451866840</v>
      </c>
      <c r="J48" s="25">
        <f t="shared" si="6"/>
        <v>0.0703024686800185</v>
      </c>
      <c r="K48" s="56">
        <f>I48/I52</f>
        <v>0.6090017088888483</v>
      </c>
    </row>
    <row r="49" spans="1:11" ht="11.25">
      <c r="A49" s="22" t="s">
        <v>44</v>
      </c>
      <c r="B49" s="24">
        <v>0</v>
      </c>
      <c r="C49" s="24">
        <v>0</v>
      </c>
      <c r="D49" s="25"/>
      <c r="E49" s="24">
        <v>25763870</v>
      </c>
      <c r="F49" s="24">
        <v>20917290</v>
      </c>
      <c r="G49" s="25">
        <f t="shared" si="7"/>
        <v>-0.1881153724188175</v>
      </c>
      <c r="H49" s="24">
        <f t="shared" si="5"/>
        <v>25763870</v>
      </c>
      <c r="I49" s="24">
        <f t="shared" si="5"/>
        <v>20917290</v>
      </c>
      <c r="J49" s="25">
        <f t="shared" si="6"/>
        <v>-0.1881153724188175</v>
      </c>
      <c r="K49" s="56">
        <f>I49/I52</f>
        <v>0.008773990151413346</v>
      </c>
    </row>
    <row r="50" spans="1:11" ht="11.25">
      <c r="A50" s="22" t="s">
        <v>45</v>
      </c>
      <c r="B50" s="24">
        <v>0</v>
      </c>
      <c r="C50" s="24">
        <v>0</v>
      </c>
      <c r="D50" s="25"/>
      <c r="E50" s="24">
        <v>1250910</v>
      </c>
      <c r="F50" s="24">
        <v>1541510</v>
      </c>
      <c r="G50" s="25">
        <f t="shared" si="7"/>
        <v>0.2323108776810482</v>
      </c>
      <c r="H50" s="24">
        <f t="shared" si="5"/>
        <v>1250910</v>
      </c>
      <c r="I50" s="24">
        <f t="shared" si="5"/>
        <v>1541510</v>
      </c>
      <c r="J50" s="25">
        <f t="shared" si="6"/>
        <v>0.2323108776810482</v>
      </c>
      <c r="K50" s="56">
        <f>I50/I52</f>
        <v>0.0006466035302998232</v>
      </c>
    </row>
    <row r="51" spans="1:11" ht="11.25">
      <c r="A51" s="22" t="s">
        <v>46</v>
      </c>
      <c r="B51" s="24">
        <v>0</v>
      </c>
      <c r="C51" s="24">
        <v>0</v>
      </c>
      <c r="D51" s="25"/>
      <c r="E51" s="24">
        <v>10990040</v>
      </c>
      <c r="F51" s="24">
        <v>14517120</v>
      </c>
      <c r="G51" s="25">
        <f t="shared" si="7"/>
        <v>0.3209342277189164</v>
      </c>
      <c r="H51" s="24">
        <f t="shared" si="5"/>
        <v>10990040</v>
      </c>
      <c r="I51" s="24">
        <f t="shared" si="5"/>
        <v>14517120</v>
      </c>
      <c r="J51" s="25">
        <f t="shared" si="6"/>
        <v>0.3209342277189164</v>
      </c>
      <c r="K51" s="64">
        <f>I51/I52</f>
        <v>0.00608936759527098</v>
      </c>
    </row>
    <row r="52" spans="1:11" ht="11.25">
      <c r="A52" s="27" t="s">
        <v>47</v>
      </c>
      <c r="B52" s="28">
        <f>SUM(B41:B51)</f>
        <v>1420836440</v>
      </c>
      <c r="C52" s="28">
        <f>SUM(C41:C51)</f>
        <v>1563511850</v>
      </c>
      <c r="D52" s="29">
        <f>(C52-B52)/B52</f>
        <v>0.100416491288751</v>
      </c>
      <c r="E52" s="28">
        <f>SUM(E41:E51)</f>
        <v>739937260</v>
      </c>
      <c r="F52" s="28">
        <f>SUM(F41:F51)</f>
        <v>820499260</v>
      </c>
      <c r="G52" s="29">
        <f t="shared" si="7"/>
        <v>0.10887679855451528</v>
      </c>
      <c r="H52" s="28">
        <f>SUM(H41:H51)</f>
        <v>2160773700</v>
      </c>
      <c r="I52" s="28">
        <f>SUM(I41:I51)</f>
        <v>2384011110</v>
      </c>
      <c r="J52" s="30">
        <f t="shared" si="6"/>
        <v>0.1033136464036007</v>
      </c>
      <c r="K52" s="25">
        <f>SUM(K41:K51)</f>
        <v>1</v>
      </c>
    </row>
    <row r="53" spans="1:10" ht="11.25">
      <c r="A53" s="31" t="s">
        <v>73</v>
      </c>
      <c r="B53" s="32"/>
      <c r="C53" s="32"/>
      <c r="D53" s="33"/>
      <c r="E53" s="32"/>
      <c r="F53" s="32"/>
      <c r="H53" s="67">
        <v>-202390</v>
      </c>
      <c r="I53" s="67">
        <v>-226980</v>
      </c>
      <c r="J53" s="25">
        <f t="shared" si="6"/>
        <v>0.12149809773210139</v>
      </c>
    </row>
    <row r="54" spans="1:10" ht="11.25">
      <c r="A54" s="31" t="s">
        <v>70</v>
      </c>
      <c r="B54" s="32"/>
      <c r="C54" s="32"/>
      <c r="D54" s="33"/>
      <c r="E54" s="32"/>
      <c r="F54" s="32"/>
      <c r="H54" s="67">
        <v>-4822800</v>
      </c>
      <c r="I54" s="67">
        <v>-7864220</v>
      </c>
      <c r="J54" s="25">
        <f t="shared" si="6"/>
        <v>0.6306336567968814</v>
      </c>
    </row>
    <row r="55" spans="1:10" ht="11.25">
      <c r="A55" s="31" t="s">
        <v>49</v>
      </c>
      <c r="B55" s="32"/>
      <c r="C55" s="32"/>
      <c r="D55" s="33"/>
      <c r="E55" s="32"/>
      <c r="H55" s="68">
        <v>-48516880</v>
      </c>
      <c r="I55" s="68">
        <v>-49009310</v>
      </c>
      <c r="J55" s="25">
        <f t="shared" si="6"/>
        <v>0.010149663374891378</v>
      </c>
    </row>
    <row r="56" spans="1:10" ht="11.25">
      <c r="A56" s="27" t="s">
        <v>50</v>
      </c>
      <c r="B56" s="34"/>
      <c r="C56" s="34"/>
      <c r="D56" s="35"/>
      <c r="E56" s="34"/>
      <c r="F56" s="36"/>
      <c r="G56" s="36"/>
      <c r="H56" s="37">
        <f>SUM(H52:H55)</f>
        <v>2107231630</v>
      </c>
      <c r="I56" s="37">
        <f>SUM(I52:I55)</f>
        <v>2326910600</v>
      </c>
      <c r="J56" s="30">
        <f t="shared" si="6"/>
        <v>0.10425003443973552</v>
      </c>
    </row>
    <row r="57" spans="1:10" ht="11.25">
      <c r="A57" s="31" t="s">
        <v>77</v>
      </c>
      <c r="B57" s="32"/>
      <c r="C57" s="32"/>
      <c r="D57" s="33"/>
      <c r="E57" s="32"/>
      <c r="H57" s="68">
        <v>-6130</v>
      </c>
      <c r="I57" s="68">
        <v>-8810</v>
      </c>
      <c r="J57" s="25">
        <f t="shared" si="6"/>
        <v>0.4371941272430669</v>
      </c>
    </row>
    <row r="58" spans="1:10" ht="11.25">
      <c r="A58" s="31" t="s">
        <v>78</v>
      </c>
      <c r="B58" s="32"/>
      <c r="C58" s="32"/>
      <c r="D58" s="33"/>
      <c r="E58" s="32"/>
      <c r="H58" s="68">
        <v>-22230786</v>
      </c>
      <c r="I58" s="68">
        <v>-101000</v>
      </c>
      <c r="J58" s="25">
        <f t="shared" si="6"/>
        <v>-0.9954567508319319</v>
      </c>
    </row>
    <row r="59" spans="1:10" ht="11.25">
      <c r="A59" s="31" t="s">
        <v>51</v>
      </c>
      <c r="B59" s="32"/>
      <c r="C59" s="32"/>
      <c r="D59" s="33"/>
      <c r="E59" s="32"/>
      <c r="H59" s="38"/>
      <c r="I59" s="24"/>
      <c r="J59" s="25"/>
    </row>
    <row r="60" spans="1:10" ht="11.25">
      <c r="A60" s="31" t="s">
        <v>52</v>
      </c>
      <c r="B60" s="32"/>
      <c r="C60" s="32"/>
      <c r="D60" s="33"/>
      <c r="E60" s="32"/>
      <c r="H60" s="67">
        <v>-11014480</v>
      </c>
      <c r="I60" s="67">
        <f>-14762630-182360</f>
        <v>-14944990</v>
      </c>
      <c r="J60" s="25">
        <f aca="true" t="shared" si="8" ref="J60:J65">(I60-H60)/H60</f>
        <v>0.3568493474045075</v>
      </c>
    </row>
    <row r="61" spans="1:10" ht="11.25">
      <c r="A61" s="31" t="s">
        <v>53</v>
      </c>
      <c r="B61" s="32"/>
      <c r="C61" s="32"/>
      <c r="D61" s="33"/>
      <c r="E61" s="32"/>
      <c r="H61" s="67">
        <v>-63460330</v>
      </c>
      <c r="I61" s="67">
        <f>-48842410-15772110</f>
        <v>-64614520</v>
      </c>
      <c r="J61" s="25">
        <f t="shared" si="8"/>
        <v>0.01818758269930207</v>
      </c>
    </row>
    <row r="62" spans="1:10" ht="11.25">
      <c r="A62" s="31" t="s">
        <v>54</v>
      </c>
      <c r="B62" s="32"/>
      <c r="C62" s="32"/>
      <c r="D62" s="33"/>
      <c r="E62" s="32"/>
      <c r="H62" s="67">
        <v>-8894250</v>
      </c>
      <c r="I62" s="67">
        <v>-9484806</v>
      </c>
      <c r="J62" s="25">
        <f t="shared" si="8"/>
        <v>0.06639750400539675</v>
      </c>
    </row>
    <row r="63" spans="1:10" ht="11.25">
      <c r="A63" s="31" t="s">
        <v>55</v>
      </c>
      <c r="B63" s="32"/>
      <c r="C63" s="32"/>
      <c r="D63" s="33"/>
      <c r="E63" s="32"/>
      <c r="H63" s="67">
        <v>-876770</v>
      </c>
      <c r="I63" s="67">
        <v>-868072</v>
      </c>
      <c r="J63" s="25">
        <f t="shared" si="8"/>
        <v>-0.009920503666868164</v>
      </c>
    </row>
    <row r="64" spans="1:10" ht="11.25">
      <c r="A64" s="31" t="s">
        <v>56</v>
      </c>
      <c r="B64" s="32"/>
      <c r="C64" s="32"/>
      <c r="D64" s="33"/>
      <c r="E64" s="32"/>
      <c r="H64" s="67">
        <v>-956614</v>
      </c>
      <c r="I64" s="67">
        <v>-1098762</v>
      </c>
      <c r="J64" s="25">
        <f t="shared" si="8"/>
        <v>0.14859494006987145</v>
      </c>
    </row>
    <row r="65" spans="1:10" ht="11.25">
      <c r="A65" s="31" t="s">
        <v>57</v>
      </c>
      <c r="B65" s="32"/>
      <c r="C65" s="32"/>
      <c r="D65" s="33"/>
      <c r="E65" s="32"/>
      <c r="H65" s="67">
        <v>-87563098</v>
      </c>
      <c r="I65" s="67">
        <f>-76569082-19898098</f>
        <v>-96467180</v>
      </c>
      <c r="J65" s="25">
        <f t="shared" si="8"/>
        <v>0.10168760817485009</v>
      </c>
    </row>
    <row r="66" spans="1:10" ht="11.25">
      <c r="A66" s="31" t="s">
        <v>58</v>
      </c>
      <c r="B66" s="32"/>
      <c r="C66" s="32"/>
      <c r="D66" s="33"/>
      <c r="E66" s="32"/>
      <c r="H66" s="38">
        <v>0</v>
      </c>
      <c r="I66" s="38">
        <v>0</v>
      </c>
      <c r="J66" s="25"/>
    </row>
    <row r="67" spans="1:10" ht="11.25">
      <c r="A67" s="31" t="s">
        <v>59</v>
      </c>
      <c r="B67" s="32"/>
      <c r="C67" s="32"/>
      <c r="D67" s="33"/>
      <c r="E67" s="32"/>
      <c r="H67" s="38">
        <v>0</v>
      </c>
      <c r="I67" s="38">
        <v>0</v>
      </c>
      <c r="J67" s="25"/>
    </row>
    <row r="68" spans="1:10" ht="11.25">
      <c r="A68" s="27" t="s">
        <v>60</v>
      </c>
      <c r="B68" s="34"/>
      <c r="C68" s="34"/>
      <c r="D68" s="35"/>
      <c r="E68" s="34"/>
      <c r="F68" s="36"/>
      <c r="G68" s="36"/>
      <c r="H68" s="37">
        <f>SUM(H56:H65)</f>
        <v>1912229172</v>
      </c>
      <c r="I68" s="37">
        <f>SUM(I56:I67)</f>
        <v>2139322460</v>
      </c>
      <c r="J68" s="30">
        <f>(I68-H68)/H68</f>
        <v>0.11875840580472015</v>
      </c>
    </row>
    <row r="69" spans="1:9" ht="11.25">
      <c r="A69" s="39" t="s">
        <v>61</v>
      </c>
      <c r="E69" s="24">
        <v>43130272</v>
      </c>
      <c r="F69" s="24">
        <v>52227460</v>
      </c>
      <c r="G69" s="42">
        <f>(F69-E69)/E69</f>
        <v>0.21092350171128066</v>
      </c>
      <c r="H69" s="43" t="s">
        <v>95</v>
      </c>
      <c r="I69" s="44">
        <f>171535630+1391566880</f>
        <v>1563102510</v>
      </c>
    </row>
    <row r="70" spans="1:9" ht="11.25">
      <c r="A70" s="39" t="s">
        <v>19</v>
      </c>
      <c r="E70" s="49">
        <v>391930.44</v>
      </c>
      <c r="F70" s="49">
        <v>457462.34</v>
      </c>
      <c r="G70" s="42">
        <f>(F70-E70)/E70</f>
        <v>0.16720288426691232</v>
      </c>
      <c r="H70" s="43" t="s">
        <v>96</v>
      </c>
      <c r="I70" s="44">
        <v>576219950</v>
      </c>
    </row>
    <row r="71" spans="1:9" ht="11.25">
      <c r="A71" s="39" t="str">
        <f>A34</f>
        <v>2005 Adopted/2006 Revenue Neutral Tax Rate</v>
      </c>
      <c r="E71" s="61">
        <v>1.587</v>
      </c>
      <c r="F71" s="61">
        <v>1.4181</v>
      </c>
      <c r="G71" s="42">
        <f>(F71-E71)/E71</f>
        <v>-0.10642722117202272</v>
      </c>
      <c r="H71" s="50" t="s">
        <v>60</v>
      </c>
      <c r="I71" s="51">
        <f>SUM(I69:I70)</f>
        <v>2139322460</v>
      </c>
    </row>
    <row r="72" spans="1:10" ht="11.25">
      <c r="A72" s="39" t="s">
        <v>62</v>
      </c>
      <c r="B72" s="40"/>
      <c r="C72" s="40"/>
      <c r="D72" s="40"/>
      <c r="E72" s="40"/>
      <c r="F72" s="40"/>
      <c r="G72" s="40"/>
      <c r="H72" s="44">
        <f>(H68-E69)*E71/100+E70</f>
        <v>30054529.983</v>
      </c>
      <c r="I72" s="44">
        <f>(I68-F69)*F71/100+F70</f>
        <v>30054556.535</v>
      </c>
      <c r="J72" s="42">
        <f>(I72-H72)/H72</f>
        <v>8.834608299012401E-07</v>
      </c>
    </row>
    <row r="73" spans="1:10" ht="11.25">
      <c r="A73" s="39" t="s">
        <v>18</v>
      </c>
      <c r="H73" s="24">
        <v>16605638</v>
      </c>
      <c r="I73" s="24">
        <v>19476716</v>
      </c>
      <c r="J73" s="42">
        <f>(I73-H73)/H73</f>
        <v>0.17289778327095895</v>
      </c>
    </row>
    <row r="74" spans="1:10" ht="11.25">
      <c r="A74" s="39" t="s">
        <v>17</v>
      </c>
      <c r="H74" s="24">
        <v>25074</v>
      </c>
      <c r="I74" s="24">
        <f>12430+16363+294</f>
        <v>29087</v>
      </c>
      <c r="J74" s="42">
        <f>(I74-H74)/H74</f>
        <v>0.16004626306133843</v>
      </c>
    </row>
    <row r="75" spans="1:10" ht="11.25">
      <c r="A75" s="20" t="s">
        <v>2</v>
      </c>
      <c r="B75" s="21" t="s">
        <v>32</v>
      </c>
      <c r="C75" s="21"/>
      <c r="D75" s="21"/>
      <c r="E75" s="21" t="s">
        <v>33</v>
      </c>
      <c r="F75" s="21"/>
      <c r="G75" s="21"/>
      <c r="H75" s="21" t="s">
        <v>34</v>
      </c>
      <c r="I75" s="21"/>
      <c r="J75" s="21"/>
    </row>
    <row r="76" spans="1:11" ht="11.25">
      <c r="A76" s="22" t="s">
        <v>35</v>
      </c>
      <c r="B76" s="22" t="str">
        <f>B39</f>
        <v>2005 Certified</v>
      </c>
      <c r="C76" s="22" t="str">
        <f>C39</f>
        <v>2006 Certified</v>
      </c>
      <c r="D76" s="23" t="s">
        <v>67</v>
      </c>
      <c r="E76" s="22" t="str">
        <f>B76</f>
        <v>2005 Certified</v>
      </c>
      <c r="F76" s="22" t="str">
        <f>C76</f>
        <v>2006 Certified</v>
      </c>
      <c r="G76" s="23" t="s">
        <v>67</v>
      </c>
      <c r="H76" s="23" t="str">
        <f>H39</f>
        <v>2005 Total</v>
      </c>
      <c r="I76" s="23" t="str">
        <f>I39</f>
        <v>2006 Total</v>
      </c>
      <c r="J76" s="23" t="s">
        <v>67</v>
      </c>
      <c r="K76" s="23" t="s">
        <v>71</v>
      </c>
    </row>
    <row r="78" spans="1:11" ht="11.25">
      <c r="A78" s="22" t="s">
        <v>36</v>
      </c>
      <c r="B78" s="24">
        <v>0</v>
      </c>
      <c r="C78" s="24">
        <v>0</v>
      </c>
      <c r="E78" s="24">
        <v>45110610</v>
      </c>
      <c r="F78" s="24">
        <v>50827920</v>
      </c>
      <c r="G78" s="25">
        <f>(F78-E78)/E78</f>
        <v>0.12673980688800263</v>
      </c>
      <c r="H78" s="24">
        <f aca="true" t="shared" si="9" ref="H78:I88">B78+E78</f>
        <v>45110610</v>
      </c>
      <c r="I78" s="24">
        <f t="shared" si="9"/>
        <v>50827920</v>
      </c>
      <c r="J78" s="25">
        <f>(I78-H78)/H78</f>
        <v>0.12673980688800263</v>
      </c>
      <c r="K78" s="56">
        <f>I78/I89</f>
        <v>0.2511712332483477</v>
      </c>
    </row>
    <row r="79" spans="1:11" ht="11.25">
      <c r="A79" s="22" t="s">
        <v>37</v>
      </c>
      <c r="B79" s="24">
        <v>0</v>
      </c>
      <c r="C79" s="24">
        <v>0</v>
      </c>
      <c r="E79" s="24">
        <v>0</v>
      </c>
      <c r="F79" s="24">
        <v>0</v>
      </c>
      <c r="G79" s="25"/>
      <c r="H79" s="24">
        <f t="shared" si="9"/>
        <v>0</v>
      </c>
      <c r="I79" s="24">
        <f t="shared" si="9"/>
        <v>0</v>
      </c>
      <c r="J79" s="25"/>
      <c r="K79" s="56">
        <f>I79/I89</f>
        <v>0</v>
      </c>
    </row>
    <row r="80" spans="1:11" ht="11.25">
      <c r="A80" s="22" t="s">
        <v>38</v>
      </c>
      <c r="B80" s="24">
        <v>0</v>
      </c>
      <c r="C80" s="24">
        <v>0</v>
      </c>
      <c r="E80" s="24">
        <v>3402790</v>
      </c>
      <c r="F80" s="24">
        <v>3569750</v>
      </c>
      <c r="G80" s="25">
        <f>(F80-E80)/E80</f>
        <v>0.04906561968267216</v>
      </c>
      <c r="H80" s="24">
        <f t="shared" si="9"/>
        <v>3402790</v>
      </c>
      <c r="I80" s="24">
        <f t="shared" si="9"/>
        <v>3569750</v>
      </c>
      <c r="J80" s="25">
        <f aca="true" t="shared" si="10" ref="J80:J89">(I80-H80)/H80</f>
        <v>0.04906561968267216</v>
      </c>
      <c r="K80" s="56">
        <f>I80/I89</f>
        <v>0.01764027546057933</v>
      </c>
    </row>
    <row r="81" spans="1:11" ht="11.25">
      <c r="A81" s="22" t="s">
        <v>39</v>
      </c>
      <c r="B81" s="24">
        <v>0</v>
      </c>
      <c r="C81" s="24">
        <v>0</v>
      </c>
      <c r="E81" s="24">
        <v>54528700</v>
      </c>
      <c r="F81" s="24">
        <f>41252210+16583430</f>
        <v>57835640</v>
      </c>
      <c r="G81" s="25">
        <f>(F81-E81)/E81</f>
        <v>0.060645861720525156</v>
      </c>
      <c r="H81" s="24">
        <f t="shared" si="9"/>
        <v>54528700</v>
      </c>
      <c r="I81" s="24">
        <f t="shared" si="9"/>
        <v>57835640</v>
      </c>
      <c r="J81" s="25">
        <f t="shared" si="10"/>
        <v>0.060645861720525156</v>
      </c>
      <c r="K81" s="56">
        <f>I81/I89</f>
        <v>0.2858005801635689</v>
      </c>
    </row>
    <row r="82" spans="1:11" ht="11.25">
      <c r="A82" s="22" t="s">
        <v>40</v>
      </c>
      <c r="B82" s="24">
        <v>0</v>
      </c>
      <c r="C82" s="24">
        <v>0</v>
      </c>
      <c r="D82" s="25"/>
      <c r="E82" s="24">
        <v>1847150</v>
      </c>
      <c r="F82" s="24">
        <v>1813490</v>
      </c>
      <c r="G82" s="25">
        <f>(F82-E82)/E82</f>
        <v>-0.018222667352407764</v>
      </c>
      <c r="H82" s="24">
        <f t="shared" si="9"/>
        <v>1847150</v>
      </c>
      <c r="I82" s="24">
        <f t="shared" si="9"/>
        <v>1813490</v>
      </c>
      <c r="J82" s="25">
        <f t="shared" si="10"/>
        <v>-0.018222667352407764</v>
      </c>
      <c r="K82" s="56">
        <f>I82/I89</f>
        <v>0.008961541605156104</v>
      </c>
    </row>
    <row r="83" spans="1:11" ht="11.25">
      <c r="A83" s="22" t="s">
        <v>41</v>
      </c>
      <c r="B83" s="24">
        <v>37780230</v>
      </c>
      <c r="C83" s="24">
        <v>57506360</v>
      </c>
      <c r="D83" s="25">
        <f>(C83-B83)/B83</f>
        <v>0.5221283724318247</v>
      </c>
      <c r="E83" s="24">
        <v>0</v>
      </c>
      <c r="F83" s="24">
        <v>0</v>
      </c>
      <c r="G83" s="25"/>
      <c r="H83" s="24">
        <f t="shared" si="9"/>
        <v>37780230</v>
      </c>
      <c r="I83" s="24">
        <f t="shared" si="9"/>
        <v>57506360</v>
      </c>
      <c r="J83" s="25">
        <f t="shared" si="10"/>
        <v>0.5221283724318247</v>
      </c>
      <c r="K83" s="56">
        <f>I83/I89</f>
        <v>0.2841734102206711</v>
      </c>
    </row>
    <row r="84" spans="1:11" ht="11.25">
      <c r="A84" s="22" t="s">
        <v>42</v>
      </c>
      <c r="B84" s="24"/>
      <c r="C84" s="24"/>
      <c r="D84" s="25"/>
      <c r="E84" s="24">
        <v>54040</v>
      </c>
      <c r="F84" s="24">
        <v>40280</v>
      </c>
      <c r="G84" s="25">
        <f aca="true" t="shared" si="11" ref="G84:G89">(F84-E84)/E84</f>
        <v>-0.2546262028127313</v>
      </c>
      <c r="H84" s="24">
        <f t="shared" si="9"/>
        <v>54040</v>
      </c>
      <c r="I84" s="24">
        <f t="shared" si="9"/>
        <v>40280</v>
      </c>
      <c r="J84" s="25">
        <f t="shared" si="10"/>
        <v>-0.2546262028127313</v>
      </c>
      <c r="K84" s="56">
        <f>I84/I89</f>
        <v>0.00019904763514311515</v>
      </c>
    </row>
    <row r="85" spans="1:11" ht="11.25">
      <c r="A85" s="22" t="s">
        <v>43</v>
      </c>
      <c r="B85" s="24">
        <v>23204760</v>
      </c>
      <c r="C85" s="24">
        <v>23501980</v>
      </c>
      <c r="D85" s="25">
        <f>(C85-B85)/B85</f>
        <v>0.0128085789294955</v>
      </c>
      <c r="E85" s="24">
        <v>1091920</v>
      </c>
      <c r="F85" s="24">
        <v>848520</v>
      </c>
      <c r="G85" s="25">
        <f t="shared" si="11"/>
        <v>-0.22291010330427138</v>
      </c>
      <c r="H85" s="24">
        <f t="shared" si="9"/>
        <v>24296680</v>
      </c>
      <c r="I85" s="24">
        <f t="shared" si="9"/>
        <v>24350500</v>
      </c>
      <c r="J85" s="25">
        <f t="shared" si="10"/>
        <v>0.002215117456376756</v>
      </c>
      <c r="K85" s="56">
        <f>I85/I89</f>
        <v>0.12033042302761732</v>
      </c>
    </row>
    <row r="86" spans="1:11" ht="11.25">
      <c r="A86" s="22" t="s">
        <v>44</v>
      </c>
      <c r="B86" s="24">
        <v>0</v>
      </c>
      <c r="C86" s="24">
        <v>0</v>
      </c>
      <c r="D86" s="25"/>
      <c r="E86" s="24">
        <v>6944630</v>
      </c>
      <c r="F86" s="24">
        <f>4655220+6510</f>
        <v>4661730</v>
      </c>
      <c r="G86" s="25">
        <f t="shared" si="11"/>
        <v>-0.3287288163660267</v>
      </c>
      <c r="H86" s="24">
        <f t="shared" si="9"/>
        <v>6944630</v>
      </c>
      <c r="I86" s="24">
        <f t="shared" si="9"/>
        <v>4661730</v>
      </c>
      <c r="J86" s="25">
        <f t="shared" si="10"/>
        <v>-0.3287288163660267</v>
      </c>
      <c r="K86" s="56">
        <f>I86/I89</f>
        <v>0.023036403480032625</v>
      </c>
    </row>
    <row r="87" spans="1:11" ht="11.25">
      <c r="A87" s="22" t="s">
        <v>45</v>
      </c>
      <c r="B87" s="24">
        <v>0</v>
      </c>
      <c r="C87" s="24">
        <v>0</v>
      </c>
      <c r="D87" s="25"/>
      <c r="E87" s="24">
        <v>6060</v>
      </c>
      <c r="F87" s="24">
        <v>6060</v>
      </c>
      <c r="G87" s="25">
        <f t="shared" si="11"/>
        <v>0</v>
      </c>
      <c r="H87" s="24">
        <f t="shared" si="9"/>
        <v>6060</v>
      </c>
      <c r="I87" s="24">
        <f t="shared" si="9"/>
        <v>6060</v>
      </c>
      <c r="J87" s="25">
        <f t="shared" si="10"/>
        <v>0</v>
      </c>
      <c r="K87" s="56">
        <f>I87/I89</f>
        <v>2.994609406572189E-05</v>
      </c>
    </row>
    <row r="88" spans="1:11" ht="11.25">
      <c r="A88" s="22" t="s">
        <v>46</v>
      </c>
      <c r="B88" s="24">
        <v>0</v>
      </c>
      <c r="C88" s="24">
        <v>0</v>
      </c>
      <c r="D88" s="25"/>
      <c r="E88" s="24">
        <v>1699540</v>
      </c>
      <c r="F88" s="24">
        <v>1751890</v>
      </c>
      <c r="G88" s="25">
        <f t="shared" si="11"/>
        <v>0.03080245242830413</v>
      </c>
      <c r="H88" s="24">
        <f t="shared" si="9"/>
        <v>1699540</v>
      </c>
      <c r="I88" s="24">
        <f t="shared" si="9"/>
        <v>1751890</v>
      </c>
      <c r="J88" s="25">
        <f t="shared" si="10"/>
        <v>0.03080245242830413</v>
      </c>
      <c r="K88" s="64">
        <f>I88/I89</f>
        <v>0.008657139064818074</v>
      </c>
    </row>
    <row r="89" spans="1:11" ht="11.25">
      <c r="A89" s="27" t="s">
        <v>47</v>
      </c>
      <c r="B89" s="28">
        <f>SUM(B78:B88)</f>
        <v>60984990</v>
      </c>
      <c r="C89" s="28">
        <f>SUM(C78:C88)</f>
        <v>81008340</v>
      </c>
      <c r="D89" s="29">
        <f>(C89-B89)/B89</f>
        <v>0.3283324306521982</v>
      </c>
      <c r="E89" s="28">
        <f>SUM(E78:E88)</f>
        <v>114685440</v>
      </c>
      <c r="F89" s="28">
        <f>SUM(F78:F88)</f>
        <v>121355280</v>
      </c>
      <c r="G89" s="29">
        <f t="shared" si="11"/>
        <v>0.05815768767159981</v>
      </c>
      <c r="H89" s="37">
        <f>SUM(H78:H88)</f>
        <v>175670430</v>
      </c>
      <c r="I89" s="37">
        <f>SUM(I78:I88)</f>
        <v>202363620</v>
      </c>
      <c r="J89" s="30">
        <f t="shared" si="10"/>
        <v>0.15195038800781668</v>
      </c>
      <c r="K89" s="25">
        <f>SUM(K78:K88)</f>
        <v>0.9999999999999999</v>
      </c>
    </row>
    <row r="90" spans="1:10" ht="11.25">
      <c r="A90" s="31" t="s">
        <v>73</v>
      </c>
      <c r="B90" s="32"/>
      <c r="C90" s="32"/>
      <c r="D90" s="33"/>
      <c r="E90" s="32"/>
      <c r="H90" s="67">
        <v>-146000</v>
      </c>
      <c r="I90" s="67">
        <v>-142690</v>
      </c>
      <c r="J90" s="25"/>
    </row>
    <row r="91" spans="1:10" ht="11.25">
      <c r="A91" s="31" t="s">
        <v>70</v>
      </c>
      <c r="B91" s="32"/>
      <c r="C91" s="32"/>
      <c r="D91" s="33"/>
      <c r="E91" s="32"/>
      <c r="H91" s="67">
        <v>-2328620</v>
      </c>
      <c r="I91" s="67">
        <v>-2327400</v>
      </c>
      <c r="J91" s="25">
        <f>(I91-H91)/H91</f>
        <v>-0.0005239154520703249</v>
      </c>
    </row>
    <row r="92" spans="1:10" ht="11.25">
      <c r="A92" s="31" t="s">
        <v>49</v>
      </c>
      <c r="B92" s="32"/>
      <c r="C92" s="32"/>
      <c r="D92" s="33"/>
      <c r="E92" s="32"/>
      <c r="H92" s="67">
        <v>-29176370</v>
      </c>
      <c r="I92" s="67">
        <v>-29958320</v>
      </c>
      <c r="J92" s="25">
        <f>(I92-H92)/H92</f>
        <v>0.0268007980430739</v>
      </c>
    </row>
    <row r="93" spans="1:10" ht="11.25">
      <c r="A93" s="27" t="s">
        <v>50</v>
      </c>
      <c r="B93" s="34"/>
      <c r="C93" s="34"/>
      <c r="D93" s="35"/>
      <c r="E93" s="34"/>
      <c r="F93" s="36"/>
      <c r="G93" s="36"/>
      <c r="H93" s="37">
        <f>SUM(H89:H92)</f>
        <v>144019440</v>
      </c>
      <c r="I93" s="37">
        <f>SUM(I89:I92)</f>
        <v>169935210</v>
      </c>
      <c r="J93" s="30">
        <f>(I93-H93)/H93</f>
        <v>0.17994633224514692</v>
      </c>
    </row>
    <row r="94" spans="1:10" ht="11.25">
      <c r="A94" s="31" t="s">
        <v>77</v>
      </c>
      <c r="B94" s="32"/>
      <c r="C94" s="32"/>
      <c r="D94" s="33"/>
      <c r="E94" s="32"/>
      <c r="H94" s="68">
        <v>-780</v>
      </c>
      <c r="I94" s="68">
        <v>-2410</v>
      </c>
      <c r="J94" s="25">
        <f>(I94-H94)/H94</f>
        <v>2.08974358974359</v>
      </c>
    </row>
    <row r="95" spans="1:10" ht="11.25">
      <c r="A95" s="31" t="s">
        <v>78</v>
      </c>
      <c r="B95" s="32"/>
      <c r="C95" s="32"/>
      <c r="D95" s="33"/>
      <c r="E95" s="32"/>
      <c r="H95" s="68">
        <v>0</v>
      </c>
      <c r="I95" s="38">
        <v>0</v>
      </c>
      <c r="J95" s="25"/>
    </row>
    <row r="96" spans="1:10" ht="11.25">
      <c r="A96" s="31" t="s">
        <v>51</v>
      </c>
      <c r="B96" s="32"/>
      <c r="C96" s="32"/>
      <c r="D96" s="33"/>
      <c r="E96" s="32"/>
      <c r="H96" s="38">
        <v>0</v>
      </c>
      <c r="I96" s="38">
        <v>0</v>
      </c>
      <c r="J96" s="25"/>
    </row>
    <row r="97" spans="1:10" ht="11.25">
      <c r="A97" s="31" t="s">
        <v>52</v>
      </c>
      <c r="B97" s="32"/>
      <c r="C97" s="32"/>
      <c r="D97" s="33"/>
      <c r="E97" s="32"/>
      <c r="H97" s="67">
        <v>-1722630</v>
      </c>
      <c r="I97" s="67">
        <f>-1772260-5920</f>
        <v>-1778180</v>
      </c>
      <c r="J97" s="25">
        <f aca="true" t="shared" si="12" ref="J97:J102">(I97-H97)/H97</f>
        <v>0.03224720340409722</v>
      </c>
    </row>
    <row r="98" spans="1:10" ht="11.25">
      <c r="A98" s="31" t="s">
        <v>53</v>
      </c>
      <c r="B98" s="32"/>
      <c r="C98" s="32"/>
      <c r="D98" s="33"/>
      <c r="E98" s="32"/>
      <c r="H98" s="67">
        <v>-10175180</v>
      </c>
      <c r="I98" s="67">
        <f>-7179720-3193300</f>
        <v>-10373020</v>
      </c>
      <c r="J98" s="25">
        <f t="shared" si="12"/>
        <v>0.01944339068203216</v>
      </c>
    </row>
    <row r="99" spans="1:10" ht="11.25">
      <c r="A99" s="31" t="s">
        <v>54</v>
      </c>
      <c r="B99" s="32"/>
      <c r="C99" s="32"/>
      <c r="D99" s="33"/>
      <c r="E99" s="32"/>
      <c r="H99" s="67">
        <v>-1530488</v>
      </c>
      <c r="I99" s="67">
        <v>-1590398</v>
      </c>
      <c r="J99" s="25">
        <f t="shared" si="12"/>
        <v>0.039144377479601276</v>
      </c>
    </row>
    <row r="100" spans="1:10" ht="11.25">
      <c r="A100" s="31" t="s">
        <v>55</v>
      </c>
      <c r="B100" s="32"/>
      <c r="C100" s="32"/>
      <c r="D100" s="33"/>
      <c r="E100" s="32"/>
      <c r="H100" s="67">
        <v>-207968</v>
      </c>
      <c r="I100" s="67">
        <v>-261136</v>
      </c>
      <c r="J100" s="25">
        <f t="shared" si="12"/>
        <v>0.2556547161101708</v>
      </c>
    </row>
    <row r="101" spans="1:10" ht="11.25">
      <c r="A101" s="31" t="s">
        <v>56</v>
      </c>
      <c r="B101" s="32"/>
      <c r="C101" s="32"/>
      <c r="D101" s="33"/>
      <c r="E101" s="32"/>
      <c r="H101" s="67">
        <v>-272720</v>
      </c>
      <c r="I101" s="67">
        <v>-265884</v>
      </c>
      <c r="J101" s="25">
        <f t="shared" si="12"/>
        <v>-0.025066001760046936</v>
      </c>
    </row>
    <row r="102" spans="1:10" ht="11.25">
      <c r="A102" s="31" t="s">
        <v>57</v>
      </c>
      <c r="B102" s="32"/>
      <c r="C102" s="32"/>
      <c r="D102" s="33"/>
      <c r="E102" s="32"/>
      <c r="H102" s="67">
        <v>-10261880</v>
      </c>
      <c r="I102" s="67">
        <f>-8130204-3008226</f>
        <v>-11138430</v>
      </c>
      <c r="J102" s="25">
        <f t="shared" si="12"/>
        <v>0.08541807154244642</v>
      </c>
    </row>
    <row r="103" spans="1:10" ht="11.25">
      <c r="A103" s="31" t="s">
        <v>58</v>
      </c>
      <c r="B103" s="32"/>
      <c r="C103" s="32"/>
      <c r="D103" s="33"/>
      <c r="E103" s="32"/>
      <c r="H103" s="38"/>
      <c r="I103" s="38"/>
      <c r="J103" s="25"/>
    </row>
    <row r="104" spans="1:10" ht="11.25">
      <c r="A104" s="31" t="s">
        <v>59</v>
      </c>
      <c r="B104" s="32"/>
      <c r="C104" s="32"/>
      <c r="D104" s="33"/>
      <c r="E104" s="32"/>
      <c r="H104" s="38"/>
      <c r="I104" s="38"/>
      <c r="J104" s="25"/>
    </row>
    <row r="105" spans="1:10" ht="11.25">
      <c r="A105" s="27" t="s">
        <v>60</v>
      </c>
      <c r="B105" s="34"/>
      <c r="C105" s="34"/>
      <c r="D105" s="35"/>
      <c r="E105" s="34"/>
      <c r="F105" s="36"/>
      <c r="G105" s="36"/>
      <c r="H105" s="37">
        <f>SUM(H93:H102)</f>
        <v>119847794</v>
      </c>
      <c r="I105" s="37">
        <f>SUM(I93:I102)</f>
        <v>144525752</v>
      </c>
      <c r="J105" s="30">
        <f>(I105-H105)/H105</f>
        <v>0.20591082385713333</v>
      </c>
    </row>
    <row r="106" spans="1:9" ht="11.25">
      <c r="A106" s="39" t="s">
        <v>61</v>
      </c>
      <c r="B106" s="32"/>
      <c r="C106" s="32"/>
      <c r="D106" s="33"/>
      <c r="E106" s="24">
        <v>5137608</v>
      </c>
      <c r="F106" s="24">
        <v>6255212</v>
      </c>
      <c r="G106" s="42">
        <f>(F106-E106)/E106</f>
        <v>0.21753391850837978</v>
      </c>
      <c r="H106" s="43" t="s">
        <v>95</v>
      </c>
      <c r="I106" s="44">
        <f>57357750+23501980</f>
        <v>80859730</v>
      </c>
    </row>
    <row r="107" spans="1:11" ht="11.25">
      <c r="A107" s="39" t="s">
        <v>19</v>
      </c>
      <c r="E107" s="49">
        <v>37855.07</v>
      </c>
      <c r="F107" s="49">
        <v>46300.06</v>
      </c>
      <c r="G107" s="42">
        <f>(F107-E107)/E107</f>
        <v>0.22308742263585823</v>
      </c>
      <c r="H107" s="43" t="s">
        <v>96</v>
      </c>
      <c r="I107" s="44">
        <v>63666022</v>
      </c>
      <c r="K107" s="48"/>
    </row>
    <row r="108" spans="1:9" ht="11.25">
      <c r="A108" s="39" t="str">
        <f>A71</f>
        <v>2005 Adopted/2006 Revenue Neutral Tax Rate</v>
      </c>
      <c r="E108" s="61">
        <v>1.51</v>
      </c>
      <c r="F108" s="61">
        <v>1.24659</v>
      </c>
      <c r="G108" s="42">
        <f>(F108-E108)/E108</f>
        <v>-0.17444370860927147</v>
      </c>
      <c r="H108" s="24"/>
      <c r="I108" s="51">
        <f>SUM(I106:I107)</f>
        <v>144525752</v>
      </c>
    </row>
    <row r="109" spans="1:10" ht="11.25">
      <c r="A109" s="39" t="s">
        <v>62</v>
      </c>
      <c r="B109" s="40"/>
      <c r="C109" s="40"/>
      <c r="D109" s="40"/>
      <c r="E109" s="40"/>
      <c r="F109" s="40"/>
      <c r="G109" s="40"/>
      <c r="H109" s="44">
        <f>(H105-E106)*E108/100+E107</f>
        <v>1769978.8786000002</v>
      </c>
      <c r="I109" s="44">
        <f>(I105-F106)*F108/100+F107</f>
        <v>1769966.7845860003</v>
      </c>
      <c r="J109" s="42">
        <f>(I109-H109)/H109</f>
        <v>-6.832857807591891E-06</v>
      </c>
    </row>
    <row r="110" spans="1:10" ht="11.25">
      <c r="A110" s="39" t="s">
        <v>18</v>
      </c>
      <c r="H110" s="24">
        <v>2039016</v>
      </c>
      <c r="I110" s="24">
        <v>1800382</v>
      </c>
      <c r="J110" s="42">
        <f>(I110-H110)/H110</f>
        <v>-0.11703390262754192</v>
      </c>
    </row>
    <row r="111" spans="1:10" ht="11.25">
      <c r="A111" s="39" t="s">
        <v>17</v>
      </c>
      <c r="H111" s="24">
        <v>9616</v>
      </c>
      <c r="I111" s="24">
        <f>4329+31+5329</f>
        <v>9689</v>
      </c>
      <c r="J111" s="42">
        <f>(I111-H111)/H111</f>
        <v>0.007591514143094842</v>
      </c>
    </row>
    <row r="112" spans="1:10" ht="11.25">
      <c r="A112" s="20" t="s">
        <v>3</v>
      </c>
      <c r="B112" s="21" t="s">
        <v>32</v>
      </c>
      <c r="C112" s="21"/>
      <c r="D112" s="21"/>
      <c r="E112" s="21" t="s">
        <v>33</v>
      </c>
      <c r="F112" s="21"/>
      <c r="G112" s="21"/>
      <c r="H112" s="21" t="s">
        <v>34</v>
      </c>
      <c r="I112" s="21"/>
      <c r="J112" s="21"/>
    </row>
    <row r="113" spans="1:11" ht="11.25">
      <c r="A113" s="22" t="s">
        <v>35</v>
      </c>
      <c r="B113" s="22" t="str">
        <f>B76</f>
        <v>2005 Certified</v>
      </c>
      <c r="C113" s="22" t="str">
        <f>C76</f>
        <v>2006 Certified</v>
      </c>
      <c r="D113" s="23" t="s">
        <v>67</v>
      </c>
      <c r="E113" s="22" t="str">
        <f>B113</f>
        <v>2005 Certified</v>
      </c>
      <c r="F113" s="22" t="str">
        <f>C113</f>
        <v>2006 Certified</v>
      </c>
      <c r="G113" s="23" t="s">
        <v>67</v>
      </c>
      <c r="H113" s="23" t="str">
        <f>H76</f>
        <v>2005 Total</v>
      </c>
      <c r="I113" s="23" t="str">
        <f>I76</f>
        <v>2006 Total</v>
      </c>
      <c r="J113" s="23" t="s">
        <v>67</v>
      </c>
      <c r="K113" s="23" t="s">
        <v>71</v>
      </c>
    </row>
    <row r="115" spans="1:11" ht="11.25">
      <c r="A115" s="22" t="s">
        <v>36</v>
      </c>
      <c r="B115" s="24">
        <v>0</v>
      </c>
      <c r="C115" s="24">
        <v>0</v>
      </c>
      <c r="E115" s="24">
        <v>71585310</v>
      </c>
      <c r="F115" s="24">
        <v>77931120</v>
      </c>
      <c r="G115" s="45">
        <f>(F115-E115)/E115</f>
        <v>0.08864681873976658</v>
      </c>
      <c r="H115" s="24">
        <f aca="true" t="shared" si="13" ref="H115:I125">B115+E115</f>
        <v>71585310</v>
      </c>
      <c r="I115" s="24">
        <f t="shared" si="13"/>
        <v>77931120</v>
      </c>
      <c r="J115" s="45">
        <f aca="true" t="shared" si="14" ref="J115:J123">(I115-H115)/H115</f>
        <v>0.08864681873976658</v>
      </c>
      <c r="K115" s="56">
        <f>I115/I126</f>
        <v>0.4053774341022754</v>
      </c>
    </row>
    <row r="116" spans="1:11" ht="11.25">
      <c r="A116" s="22" t="s">
        <v>37</v>
      </c>
      <c r="B116" s="24">
        <v>0</v>
      </c>
      <c r="C116" s="24">
        <v>0</v>
      </c>
      <c r="E116" s="24">
        <v>358820</v>
      </c>
      <c r="F116" s="24">
        <v>355880</v>
      </c>
      <c r="G116" s="45">
        <f>(F116-E116)/E116</f>
        <v>-0.008193523214982443</v>
      </c>
      <c r="H116" s="24">
        <f t="shared" si="13"/>
        <v>358820</v>
      </c>
      <c r="I116" s="24">
        <f t="shared" si="13"/>
        <v>355880</v>
      </c>
      <c r="J116" s="45">
        <f t="shared" si="14"/>
        <v>-0.008193523214982443</v>
      </c>
      <c r="K116" s="56">
        <f>I116/I126</f>
        <v>0.0018511952766535084</v>
      </c>
    </row>
    <row r="117" spans="1:11" ht="11.25">
      <c r="A117" s="22" t="s">
        <v>38</v>
      </c>
      <c r="B117" s="24">
        <v>0</v>
      </c>
      <c r="C117" s="24">
        <v>0</v>
      </c>
      <c r="E117" s="24">
        <v>4886120</v>
      </c>
      <c r="F117" s="24">
        <v>5566620</v>
      </c>
      <c r="G117" s="45">
        <f>(F117-E117)/E117</f>
        <v>0.13927206044878146</v>
      </c>
      <c r="H117" s="24">
        <f t="shared" si="13"/>
        <v>4886120</v>
      </c>
      <c r="I117" s="24">
        <f t="shared" si="13"/>
        <v>5566620</v>
      </c>
      <c r="J117" s="45">
        <f t="shared" si="14"/>
        <v>0.13927206044878146</v>
      </c>
      <c r="K117" s="56">
        <f>I117/I126</f>
        <v>0.02895611062977676</v>
      </c>
    </row>
    <row r="118" spans="1:11" ht="11.25">
      <c r="A118" s="22" t="s">
        <v>39</v>
      </c>
      <c r="B118" s="24">
        <v>0</v>
      </c>
      <c r="C118" s="24">
        <v>0</v>
      </c>
      <c r="E118" s="24">
        <v>50721080</v>
      </c>
      <c r="F118" s="24">
        <f>45036900+8399570</f>
        <v>53436470</v>
      </c>
      <c r="G118" s="45">
        <f>(F118-E118)/E118</f>
        <v>0.05353572912879615</v>
      </c>
      <c r="H118" s="24">
        <f t="shared" si="13"/>
        <v>50721080</v>
      </c>
      <c r="I118" s="24">
        <f t="shared" si="13"/>
        <v>53436470</v>
      </c>
      <c r="J118" s="45">
        <f t="shared" si="14"/>
        <v>0.05353572912879615</v>
      </c>
      <c r="K118" s="56">
        <f>I118/I126</f>
        <v>0.27796263028278323</v>
      </c>
    </row>
    <row r="119" spans="1:11" ht="11.25">
      <c r="A119" s="22" t="s">
        <v>40</v>
      </c>
      <c r="B119" s="24">
        <v>0</v>
      </c>
      <c r="C119" s="24">
        <v>0</v>
      </c>
      <c r="D119" s="45"/>
      <c r="E119" s="24">
        <v>2784360</v>
      </c>
      <c r="F119" s="24">
        <v>2838700</v>
      </c>
      <c r="G119" s="45">
        <f>(F119-E119)/E119</f>
        <v>0.019516154520248817</v>
      </c>
      <c r="H119" s="24">
        <f t="shared" si="13"/>
        <v>2784360</v>
      </c>
      <c r="I119" s="24">
        <f t="shared" si="13"/>
        <v>2838700</v>
      </c>
      <c r="J119" s="45">
        <f t="shared" si="14"/>
        <v>0.019516154520248817</v>
      </c>
      <c r="K119" s="56">
        <f>I119/I126</f>
        <v>0.01476617970056287</v>
      </c>
    </row>
    <row r="120" spans="1:11" ht="11.25">
      <c r="A120" s="22" t="s">
        <v>41</v>
      </c>
      <c r="B120" s="24">
        <v>17562990</v>
      </c>
      <c r="C120" s="24">
        <v>21202070</v>
      </c>
      <c r="D120" s="45">
        <f>(C120-B120)/B120</f>
        <v>0.2072016211362644</v>
      </c>
      <c r="E120" s="24">
        <v>0</v>
      </c>
      <c r="F120" s="24">
        <v>0</v>
      </c>
      <c r="G120" s="45"/>
      <c r="H120" s="24">
        <f t="shared" si="13"/>
        <v>17562990</v>
      </c>
      <c r="I120" s="24">
        <f t="shared" si="13"/>
        <v>21202070</v>
      </c>
      <c r="J120" s="45">
        <f t="shared" si="14"/>
        <v>0.2072016211362644</v>
      </c>
      <c r="K120" s="56">
        <f>I120/I126</f>
        <v>0.11028765830975905</v>
      </c>
    </row>
    <row r="121" spans="1:11" ht="11.25">
      <c r="A121" s="22" t="s">
        <v>42</v>
      </c>
      <c r="B121" s="24"/>
      <c r="C121" s="24"/>
      <c r="D121" s="45"/>
      <c r="E121" s="24">
        <v>185500</v>
      </c>
      <c r="F121" s="24">
        <v>192110</v>
      </c>
      <c r="G121" s="45">
        <f>(F121-E121)/E121</f>
        <v>0.03563342318059299</v>
      </c>
      <c r="H121" s="24">
        <f t="shared" si="13"/>
        <v>185500</v>
      </c>
      <c r="I121" s="24">
        <f t="shared" si="13"/>
        <v>192110</v>
      </c>
      <c r="J121" s="45">
        <f t="shared" si="14"/>
        <v>0.03563342318059299</v>
      </c>
      <c r="K121" s="56">
        <f>I121/I126</f>
        <v>0.000999306295936567</v>
      </c>
    </row>
    <row r="122" spans="1:11" ht="11.25">
      <c r="A122" s="22" t="s">
        <v>43</v>
      </c>
      <c r="B122" s="24">
        <v>11014630</v>
      </c>
      <c r="C122" s="24">
        <v>18031180</v>
      </c>
      <c r="D122" s="45">
        <f>(C122-B122)/B122</f>
        <v>0.6370209439627114</v>
      </c>
      <c r="E122" s="24">
        <v>1343120</v>
      </c>
      <c r="F122" s="24">
        <v>1285920</v>
      </c>
      <c r="G122" s="45">
        <f>(F122-E122)/E122</f>
        <v>-0.04258740842218119</v>
      </c>
      <c r="H122" s="24">
        <f t="shared" si="13"/>
        <v>12357750</v>
      </c>
      <c r="I122" s="24">
        <f t="shared" si="13"/>
        <v>19317100</v>
      </c>
      <c r="J122" s="45">
        <f t="shared" si="14"/>
        <v>0.5631567235135846</v>
      </c>
      <c r="K122" s="56">
        <f>I122/I126</f>
        <v>0.10048253422120795</v>
      </c>
    </row>
    <row r="123" spans="1:11" ht="11.25">
      <c r="A123" s="22" t="s">
        <v>44</v>
      </c>
      <c r="B123" s="24">
        <v>0</v>
      </c>
      <c r="C123" s="24">
        <v>0</v>
      </c>
      <c r="D123" s="25"/>
      <c r="E123" s="24">
        <v>4886980</v>
      </c>
      <c r="F123" s="24">
        <v>4263140</v>
      </c>
      <c r="G123" s="45">
        <f>(F123-E123)/E123</f>
        <v>-0.1276534792448506</v>
      </c>
      <c r="H123" s="24">
        <f t="shared" si="13"/>
        <v>4886980</v>
      </c>
      <c r="I123" s="24">
        <f t="shared" si="13"/>
        <v>4263140</v>
      </c>
      <c r="J123" s="45">
        <f t="shared" si="14"/>
        <v>-0.1276534792448506</v>
      </c>
      <c r="K123" s="56">
        <f>I123/I126</f>
        <v>0.02217574640809441</v>
      </c>
    </row>
    <row r="124" spans="1:11" ht="11.25">
      <c r="A124" s="22" t="s">
        <v>45</v>
      </c>
      <c r="B124" s="24">
        <v>0</v>
      </c>
      <c r="C124" s="24">
        <v>0</v>
      </c>
      <c r="D124" s="25"/>
      <c r="E124" s="24">
        <v>0</v>
      </c>
      <c r="F124" s="24">
        <v>0</v>
      </c>
      <c r="G124" s="45"/>
      <c r="H124" s="24">
        <f t="shared" si="13"/>
        <v>0</v>
      </c>
      <c r="I124" s="24">
        <f t="shared" si="13"/>
        <v>0</v>
      </c>
      <c r="J124" s="45"/>
      <c r="K124" s="56">
        <f>I124/I126</f>
        <v>0</v>
      </c>
    </row>
    <row r="125" spans="1:11" ht="11.25">
      <c r="A125" s="22" t="s">
        <v>46</v>
      </c>
      <c r="B125" s="24">
        <v>0</v>
      </c>
      <c r="C125" s="24">
        <v>0</v>
      </c>
      <c r="D125" s="45"/>
      <c r="E125" s="24">
        <v>6723580</v>
      </c>
      <c r="F125" s="24">
        <v>7140150</v>
      </c>
      <c r="G125" s="45">
        <f>(F125-E125)/E125</f>
        <v>0.061956576704672216</v>
      </c>
      <c r="H125" s="24">
        <f t="shared" si="13"/>
        <v>6723580</v>
      </c>
      <c r="I125" s="24">
        <f t="shared" si="13"/>
        <v>7140150</v>
      </c>
      <c r="J125" s="45">
        <f>(I125-H125)/H125</f>
        <v>0.061956576704672216</v>
      </c>
      <c r="K125" s="64">
        <f>I125/I126</f>
        <v>0.037141204772950284</v>
      </c>
    </row>
    <row r="126" spans="1:11" ht="11.25">
      <c r="A126" s="27" t="s">
        <v>47</v>
      </c>
      <c r="B126" s="28">
        <f>SUM(B115:B125)</f>
        <v>28577620</v>
      </c>
      <c r="C126" s="28">
        <f>SUM(C115:C125)</f>
        <v>39233250</v>
      </c>
      <c r="D126" s="29">
        <f>(C126-B126)/B126</f>
        <v>0.3728662498836502</v>
      </c>
      <c r="E126" s="28">
        <f>SUM(E115:E125)</f>
        <v>143474870</v>
      </c>
      <c r="F126" s="28">
        <f>SUM(F115:F125)</f>
        <v>153010110</v>
      </c>
      <c r="G126" s="29">
        <f>(F126-E126)/E126</f>
        <v>0.06645930398821759</v>
      </c>
      <c r="H126" s="37">
        <f>SUM(H115:H125)</f>
        <v>172052490</v>
      </c>
      <c r="I126" s="37">
        <f>SUM(I115:I125)</f>
        <v>192243360</v>
      </c>
      <c r="J126" s="30">
        <f>(I126-H126)/H126</f>
        <v>0.11735296594661315</v>
      </c>
      <c r="K126" s="25">
        <f>SUM(K115:K125)</f>
        <v>0.9999999999999999</v>
      </c>
    </row>
    <row r="127" spans="1:10" ht="11.25">
      <c r="A127" s="31" t="s">
        <v>73</v>
      </c>
      <c r="H127" s="68">
        <v>-103160</v>
      </c>
      <c r="I127" s="68">
        <v>-122680</v>
      </c>
      <c r="J127" s="25"/>
    </row>
    <row r="128" spans="1:10" ht="11.25">
      <c r="A128" s="31" t="s">
        <v>70</v>
      </c>
      <c r="H128" s="68">
        <v>-3239340</v>
      </c>
      <c r="I128" s="68">
        <v>-3498420</v>
      </c>
      <c r="J128" s="45">
        <f>(I128-H128)/H128</f>
        <v>0.07997925503343274</v>
      </c>
    </row>
    <row r="129" spans="1:10" ht="11.25">
      <c r="A129" s="31" t="s">
        <v>49</v>
      </c>
      <c r="C129" s="32"/>
      <c r="H129" s="67">
        <v>-28853000</v>
      </c>
      <c r="I129" s="67">
        <v>-30389700</v>
      </c>
      <c r="J129" s="45">
        <f>(I129-H129)/H129</f>
        <v>0.053259626382005334</v>
      </c>
    </row>
    <row r="130" spans="1:10" ht="11.25">
      <c r="A130" s="27" t="s">
        <v>50</v>
      </c>
      <c r="B130" s="36"/>
      <c r="C130" s="36"/>
      <c r="D130" s="36"/>
      <c r="E130" s="36"/>
      <c r="F130" s="36"/>
      <c r="G130" s="36"/>
      <c r="H130" s="37">
        <f>SUM(H126:H129)</f>
        <v>139856990</v>
      </c>
      <c r="I130" s="37">
        <f>SUM(I126:I129)</f>
        <v>158232560</v>
      </c>
      <c r="J130" s="30">
        <f>(I130-H130)/H130</f>
        <v>0.13138828456125073</v>
      </c>
    </row>
    <row r="131" spans="1:10" ht="11.25">
      <c r="A131" s="31" t="s">
        <v>77</v>
      </c>
      <c r="H131" s="68">
        <v>-1040</v>
      </c>
      <c r="I131" s="68">
        <v>-2180</v>
      </c>
      <c r="J131" s="45">
        <f>(I131-H131)/H131</f>
        <v>1.0961538461538463</v>
      </c>
    </row>
    <row r="132" spans="1:10" ht="11.25">
      <c r="A132" s="31" t="s">
        <v>78</v>
      </c>
      <c r="H132" s="68">
        <v>0</v>
      </c>
      <c r="I132" s="38">
        <v>0</v>
      </c>
      <c r="J132" s="25"/>
    </row>
    <row r="133" spans="1:10" ht="11.25">
      <c r="A133" s="31" t="s">
        <v>51</v>
      </c>
      <c r="H133" s="38">
        <v>0</v>
      </c>
      <c r="I133" s="38">
        <v>0</v>
      </c>
      <c r="J133" s="25"/>
    </row>
    <row r="134" spans="1:10" ht="11.25">
      <c r="A134" s="31" t="s">
        <v>52</v>
      </c>
      <c r="H134" s="67">
        <v>-6704940</v>
      </c>
      <c r="I134" s="67">
        <f>-7140450-5450</f>
        <v>-7145900</v>
      </c>
      <c r="J134" s="45">
        <f aca="true" t="shared" si="15" ref="J134:J139">(I134-H134)/H134</f>
        <v>0.06576643489725487</v>
      </c>
    </row>
    <row r="135" spans="1:10" ht="11.25">
      <c r="A135" s="31" t="s">
        <v>53</v>
      </c>
      <c r="H135" s="67">
        <v>-9853860</v>
      </c>
      <c r="I135" s="67">
        <f>-5780120-4161730</f>
        <v>-9941850</v>
      </c>
      <c r="J135" s="45">
        <f t="shared" si="15"/>
        <v>0.008929495649420633</v>
      </c>
    </row>
    <row r="136" spans="1:10" ht="11.25">
      <c r="A136" s="31" t="s">
        <v>54</v>
      </c>
      <c r="H136" s="67">
        <v>-1889946</v>
      </c>
      <c r="I136" s="67">
        <v>-2001588</v>
      </c>
      <c r="J136" s="45">
        <f t="shared" si="15"/>
        <v>0.05907152902781349</v>
      </c>
    </row>
    <row r="137" spans="1:10" ht="11.25">
      <c r="A137" s="31" t="s">
        <v>55</v>
      </c>
      <c r="H137" s="67">
        <v>-355286</v>
      </c>
      <c r="I137" s="67">
        <v>-407668</v>
      </c>
      <c r="J137" s="45">
        <f t="shared" si="15"/>
        <v>0.14743615003124244</v>
      </c>
    </row>
    <row r="138" spans="1:10" ht="11.25">
      <c r="A138" s="31" t="s">
        <v>56</v>
      </c>
      <c r="H138" s="67">
        <v>-292180</v>
      </c>
      <c r="I138" s="67">
        <v>-280666</v>
      </c>
      <c r="J138" s="45">
        <f t="shared" si="15"/>
        <v>-0.03940721473064549</v>
      </c>
    </row>
    <row r="139" spans="1:10" ht="11.25">
      <c r="A139" s="31" t="s">
        <v>57</v>
      </c>
      <c r="H139" s="67">
        <v>-9326240</v>
      </c>
      <c r="I139" s="67">
        <f>-6013778-3913534</f>
        <v>-9927312</v>
      </c>
      <c r="J139" s="45">
        <f t="shared" si="15"/>
        <v>0.064449553088919</v>
      </c>
    </row>
    <row r="140" spans="1:10" ht="11.25">
      <c r="A140" s="31" t="s">
        <v>58</v>
      </c>
      <c r="H140" s="38">
        <v>0</v>
      </c>
      <c r="I140" s="38">
        <v>0</v>
      </c>
      <c r="J140" s="25"/>
    </row>
    <row r="141" spans="1:10" ht="11.25">
      <c r="A141" s="31" t="s">
        <v>59</v>
      </c>
      <c r="H141" s="38">
        <v>0</v>
      </c>
      <c r="I141" s="38">
        <v>0</v>
      </c>
      <c r="J141" s="25"/>
    </row>
    <row r="142" spans="1:10" ht="11.25">
      <c r="A142" s="27" t="s">
        <v>60</v>
      </c>
      <c r="B142" s="36"/>
      <c r="C142" s="36"/>
      <c r="D142" s="36"/>
      <c r="E142" s="36"/>
      <c r="F142" s="36"/>
      <c r="G142" s="36"/>
      <c r="H142" s="37">
        <f>SUM(H130:H139)</f>
        <v>111433498</v>
      </c>
      <c r="I142" s="37">
        <f>SUM(I130:I141)</f>
        <v>128525396</v>
      </c>
      <c r="J142" s="30">
        <f>(I142-H142)/H142</f>
        <v>0.15338204675222525</v>
      </c>
    </row>
    <row r="143" spans="1:10" ht="11.25">
      <c r="A143" s="39" t="s">
        <v>61</v>
      </c>
      <c r="E143" s="24">
        <v>6536000</v>
      </c>
      <c r="F143" s="24">
        <v>8131384</v>
      </c>
      <c r="G143" s="42">
        <f>(F143-E143)/E143</f>
        <v>0.24409179926560587</v>
      </c>
      <c r="H143" s="43" t="s">
        <v>95</v>
      </c>
      <c r="I143" s="44">
        <f>21073940+18031180</f>
        <v>39105120</v>
      </c>
      <c r="J143" s="33"/>
    </row>
    <row r="144" spans="1:11" ht="11.25">
      <c r="A144" s="39" t="s">
        <v>19</v>
      </c>
      <c r="E144" s="49">
        <v>50354.35</v>
      </c>
      <c r="F144" s="49">
        <v>62555.42</v>
      </c>
      <c r="G144" s="42">
        <f>(F144-E144)/E144</f>
        <v>0.24230419020402408</v>
      </c>
      <c r="H144" s="43" t="s">
        <v>96</v>
      </c>
      <c r="I144" s="44">
        <v>89420276</v>
      </c>
      <c r="J144" s="33"/>
      <c r="K144" s="48"/>
    </row>
    <row r="145" spans="1:10" ht="11.25">
      <c r="A145" s="39" t="str">
        <f>A108</f>
        <v>2005 Adopted/2006 Revenue Neutral Tax Rate</v>
      </c>
      <c r="E145" s="61">
        <v>1.5</v>
      </c>
      <c r="F145" s="61">
        <v>1.29679</v>
      </c>
      <c r="G145" s="42">
        <f>(F145-E145)/E145</f>
        <v>-0.13547333333333325</v>
      </c>
      <c r="H145" s="38"/>
      <c r="I145" s="47">
        <f>SUM(I143:I144)</f>
        <v>128525396</v>
      </c>
      <c r="J145" s="33"/>
    </row>
    <row r="146" spans="1:10" ht="11.25">
      <c r="A146" s="39" t="s">
        <v>62</v>
      </c>
      <c r="B146" s="40"/>
      <c r="C146" s="40"/>
      <c r="D146" s="40"/>
      <c r="E146" s="40"/>
      <c r="F146" s="40"/>
      <c r="G146" s="40"/>
      <c r="H146" s="44">
        <f>(H142-E143)*E145/100+E144</f>
        <v>1623816.82</v>
      </c>
      <c r="I146" s="44">
        <f>(I142-F143)*F145/100+F144</f>
        <v>1623812.9282148</v>
      </c>
      <c r="J146" s="42">
        <f>(I146-H146)/H146</f>
        <v>-2.3966897941029894E-06</v>
      </c>
    </row>
    <row r="147" spans="1:10" ht="11.25">
      <c r="A147" s="39" t="s">
        <v>18</v>
      </c>
      <c r="H147" s="38">
        <v>1176862</v>
      </c>
      <c r="I147" s="38">
        <v>1512178</v>
      </c>
      <c r="J147" s="42">
        <f>(I147-H147)/H147</f>
        <v>0.28492380584979377</v>
      </c>
    </row>
    <row r="148" spans="1:10" ht="11.25">
      <c r="A148" s="39" t="s">
        <v>17</v>
      </c>
      <c r="H148" s="38">
        <v>9335</v>
      </c>
      <c r="I148" s="38">
        <f>4140+5265+63</f>
        <v>9468</v>
      </c>
      <c r="J148" s="42">
        <f>(I148-H148)/H148</f>
        <v>0.014247455811462239</v>
      </c>
    </row>
    <row r="149" spans="1:10" ht="11.25">
      <c r="A149" s="20" t="s">
        <v>4</v>
      </c>
      <c r="B149" s="21" t="s">
        <v>32</v>
      </c>
      <c r="C149" s="21"/>
      <c r="D149" s="21"/>
      <c r="E149" s="21" t="s">
        <v>33</v>
      </c>
      <c r="F149" s="21"/>
      <c r="G149" s="21"/>
      <c r="H149" s="21" t="s">
        <v>34</v>
      </c>
      <c r="I149" s="21"/>
      <c r="J149" s="21"/>
    </row>
    <row r="150" spans="1:11" ht="11.25">
      <c r="A150" s="22" t="s">
        <v>35</v>
      </c>
      <c r="B150" s="22" t="str">
        <f>B113</f>
        <v>2005 Certified</v>
      </c>
      <c r="C150" s="22" t="str">
        <f>C113</f>
        <v>2006 Certified</v>
      </c>
      <c r="D150" s="23" t="s">
        <v>67</v>
      </c>
      <c r="E150" s="22" t="str">
        <f>B150</f>
        <v>2005 Certified</v>
      </c>
      <c r="F150" s="22" t="str">
        <f>C150</f>
        <v>2006 Certified</v>
      </c>
      <c r="G150" s="23" t="s">
        <v>67</v>
      </c>
      <c r="H150" s="23" t="str">
        <f>H113</f>
        <v>2005 Total</v>
      </c>
      <c r="I150" s="23" t="str">
        <f>I113</f>
        <v>2006 Total</v>
      </c>
      <c r="J150" s="23" t="s">
        <v>67</v>
      </c>
      <c r="K150" s="23" t="s">
        <v>71</v>
      </c>
    </row>
    <row r="152" spans="1:11" ht="11.25">
      <c r="A152" s="22" t="s">
        <v>36</v>
      </c>
      <c r="B152" s="24">
        <v>0</v>
      </c>
      <c r="C152" s="24">
        <v>0</v>
      </c>
      <c r="E152" s="24">
        <v>658245940</v>
      </c>
      <c r="F152" s="24">
        <v>714246380</v>
      </c>
      <c r="G152" s="25">
        <f>(F152-E152)/E152</f>
        <v>0.0850752531796854</v>
      </c>
      <c r="H152" s="24">
        <f aca="true" t="shared" si="16" ref="H152:I162">B152+E152</f>
        <v>658245940</v>
      </c>
      <c r="I152" s="24">
        <f t="shared" si="16"/>
        <v>714246380</v>
      </c>
      <c r="J152" s="25">
        <f aca="true" t="shared" si="17" ref="J152:J163">(I152-H152)/H152</f>
        <v>0.0850752531796854</v>
      </c>
      <c r="K152" s="56">
        <f>I152/I163</f>
        <v>0.3009667657729159</v>
      </c>
    </row>
    <row r="153" spans="1:11" ht="11.25">
      <c r="A153" s="22" t="s">
        <v>37</v>
      </c>
      <c r="B153" s="24">
        <v>0</v>
      </c>
      <c r="C153" s="24">
        <v>0</v>
      </c>
      <c r="E153" s="24">
        <v>21035430</v>
      </c>
      <c r="F153" s="24">
        <v>21710830</v>
      </c>
      <c r="G153" s="25">
        <f>(F153-E153)/E153</f>
        <v>0.03210773442710703</v>
      </c>
      <c r="H153" s="24">
        <f t="shared" si="16"/>
        <v>21035430</v>
      </c>
      <c r="I153" s="24">
        <f t="shared" si="16"/>
        <v>21710830</v>
      </c>
      <c r="J153" s="25">
        <f t="shared" si="17"/>
        <v>0.03210773442710703</v>
      </c>
      <c r="K153" s="56">
        <f>I153/I163</f>
        <v>0.00914843738843394</v>
      </c>
    </row>
    <row r="154" spans="1:11" ht="11.25">
      <c r="A154" s="22" t="s">
        <v>38</v>
      </c>
      <c r="B154" s="24">
        <v>0</v>
      </c>
      <c r="C154" s="24">
        <v>0</v>
      </c>
      <c r="E154" s="24">
        <v>19962360</v>
      </c>
      <c r="F154" s="24">
        <v>19988730</v>
      </c>
      <c r="G154" s="25">
        <f>(F154-E154)/E154</f>
        <v>0.0013209860958323565</v>
      </c>
      <c r="H154" s="24">
        <f t="shared" si="16"/>
        <v>19962360</v>
      </c>
      <c r="I154" s="24">
        <f t="shared" si="16"/>
        <v>19988730</v>
      </c>
      <c r="J154" s="25">
        <f t="shared" si="17"/>
        <v>0.0013209860958323565</v>
      </c>
      <c r="K154" s="56">
        <f>I154/I163</f>
        <v>0.0084227846139144</v>
      </c>
    </row>
    <row r="155" spans="1:11" ht="11.25">
      <c r="A155" s="22" t="s">
        <v>39</v>
      </c>
      <c r="B155" s="24">
        <v>0</v>
      </c>
      <c r="C155" s="24">
        <v>0</v>
      </c>
      <c r="E155" s="24">
        <v>176488430</v>
      </c>
      <c r="F155" s="24">
        <f>130991400+60661610+15580</f>
        <v>191668590</v>
      </c>
      <c r="G155" s="25">
        <f>(F155-E155)/E155</f>
        <v>0.08601221054547314</v>
      </c>
      <c r="H155" s="24">
        <f t="shared" si="16"/>
        <v>176488430</v>
      </c>
      <c r="I155" s="24">
        <f t="shared" si="16"/>
        <v>191668590</v>
      </c>
      <c r="J155" s="25">
        <f t="shared" si="17"/>
        <v>0.08601221054547314</v>
      </c>
      <c r="K155" s="56">
        <f>I155/I163</f>
        <v>0.08076467343461377</v>
      </c>
    </row>
    <row r="156" spans="1:11" ht="11.25">
      <c r="A156" s="22" t="s">
        <v>40</v>
      </c>
      <c r="B156" s="24">
        <v>0</v>
      </c>
      <c r="C156" s="24">
        <v>0</v>
      </c>
      <c r="D156" s="25"/>
      <c r="E156" s="24">
        <v>175558940</v>
      </c>
      <c r="F156" s="24">
        <v>176552450</v>
      </c>
      <c r="G156" s="25">
        <f>(F156-E156)/E156</f>
        <v>0.005659125077879828</v>
      </c>
      <c r="H156" s="24">
        <f t="shared" si="16"/>
        <v>175558940</v>
      </c>
      <c r="I156" s="24">
        <f t="shared" si="16"/>
        <v>176552450</v>
      </c>
      <c r="J156" s="25">
        <f t="shared" si="17"/>
        <v>0.005659125077879828</v>
      </c>
      <c r="K156" s="56">
        <f>I156/I163</f>
        <v>0.07439508460061701</v>
      </c>
    </row>
    <row r="157" spans="1:11" ht="11.25">
      <c r="A157" s="22" t="s">
        <v>41</v>
      </c>
      <c r="B157" s="24">
        <v>231040300</v>
      </c>
      <c r="C157" s="24">
        <v>370035890</v>
      </c>
      <c r="D157" s="25">
        <f>(C157-B157)/B157</f>
        <v>0.6016075550455916</v>
      </c>
      <c r="E157" s="24">
        <v>0</v>
      </c>
      <c r="F157" s="24">
        <v>0</v>
      </c>
      <c r="G157" s="25"/>
      <c r="H157" s="24">
        <f t="shared" si="16"/>
        <v>231040300</v>
      </c>
      <c r="I157" s="24">
        <f t="shared" si="16"/>
        <v>370035890</v>
      </c>
      <c r="J157" s="25">
        <f t="shared" si="17"/>
        <v>0.6016075550455916</v>
      </c>
      <c r="K157" s="56">
        <f>I157/I163</f>
        <v>0.15592449349649135</v>
      </c>
    </row>
    <row r="158" spans="1:11" ht="11.25">
      <c r="A158" s="22" t="s">
        <v>42</v>
      </c>
      <c r="B158" s="24"/>
      <c r="C158" s="24"/>
      <c r="D158" s="25"/>
      <c r="E158" s="24">
        <v>3065920</v>
      </c>
      <c r="F158" s="24">
        <v>1313880</v>
      </c>
      <c r="G158" s="25">
        <f aca="true" t="shared" si="18" ref="G158:G163">(F158-E158)/E158</f>
        <v>-0.5714565285460808</v>
      </c>
      <c r="H158" s="24">
        <f t="shared" si="16"/>
        <v>3065920</v>
      </c>
      <c r="I158" s="24">
        <f t="shared" si="16"/>
        <v>1313880</v>
      </c>
      <c r="J158" s="25">
        <f t="shared" si="17"/>
        <v>-0.5714565285460808</v>
      </c>
      <c r="K158" s="56">
        <f>I158/I163</f>
        <v>0.0005536383876579378</v>
      </c>
    </row>
    <row r="159" spans="1:11" ht="11.25">
      <c r="A159" s="22" t="s">
        <v>43</v>
      </c>
      <c r="B159" s="24">
        <v>670751480</v>
      </c>
      <c r="C159" s="24">
        <v>628384190</v>
      </c>
      <c r="D159" s="25">
        <f>(C159-B159)/B159</f>
        <v>-0.06316391579188167</v>
      </c>
      <c r="E159" s="24">
        <v>118823530</v>
      </c>
      <c r="F159" s="24">
        <f>109659970+12169450</f>
        <v>121829420</v>
      </c>
      <c r="G159" s="25">
        <f t="shared" si="18"/>
        <v>0.0252970939341728</v>
      </c>
      <c r="H159" s="24">
        <f t="shared" si="16"/>
        <v>789575010</v>
      </c>
      <c r="I159" s="24">
        <f t="shared" si="16"/>
        <v>750213610</v>
      </c>
      <c r="J159" s="25">
        <f t="shared" si="17"/>
        <v>-0.04985137510874363</v>
      </c>
      <c r="K159" s="56">
        <f>I159/I163</f>
        <v>0.316122517611533</v>
      </c>
    </row>
    <row r="160" spans="1:11" ht="11.25">
      <c r="A160" s="22" t="s">
        <v>44</v>
      </c>
      <c r="B160" s="24">
        <v>0</v>
      </c>
      <c r="C160" s="24">
        <v>0</v>
      </c>
      <c r="D160" s="25"/>
      <c r="E160" s="24">
        <v>32103010</v>
      </c>
      <c r="F160" s="24">
        <v>27724720</v>
      </c>
      <c r="G160" s="25">
        <f t="shared" si="18"/>
        <v>-0.1363825385843882</v>
      </c>
      <c r="H160" s="24">
        <f t="shared" si="16"/>
        <v>32103010</v>
      </c>
      <c r="I160" s="24">
        <f t="shared" si="16"/>
        <v>27724720</v>
      </c>
      <c r="J160" s="25">
        <f t="shared" si="17"/>
        <v>-0.1363825385843882</v>
      </c>
      <c r="K160" s="56">
        <f>I160/I163</f>
        <v>0.01168255036918728</v>
      </c>
    </row>
    <row r="161" spans="1:11" ht="11.25">
      <c r="A161" s="22" t="s">
        <v>45</v>
      </c>
      <c r="B161" s="24">
        <v>0</v>
      </c>
      <c r="C161" s="24">
        <v>0</v>
      </c>
      <c r="D161" s="25"/>
      <c r="E161" s="24">
        <v>1452500</v>
      </c>
      <c r="F161" s="24">
        <v>1141490</v>
      </c>
      <c r="G161" s="25">
        <f t="shared" si="18"/>
        <v>-0.21412048192771085</v>
      </c>
      <c r="H161" s="24">
        <f t="shared" si="16"/>
        <v>1452500</v>
      </c>
      <c r="I161" s="24">
        <f t="shared" si="16"/>
        <v>1141490</v>
      </c>
      <c r="J161" s="25">
        <f t="shared" si="17"/>
        <v>-0.21412048192771085</v>
      </c>
      <c r="K161" s="56">
        <f>I161/I163</f>
        <v>0.0004809972624042222</v>
      </c>
    </row>
    <row r="162" spans="1:11" ht="11.25">
      <c r="A162" s="22" t="s">
        <v>46</v>
      </c>
      <c r="B162" s="24">
        <v>0</v>
      </c>
      <c r="C162" s="24">
        <v>0</v>
      </c>
      <c r="D162" s="25"/>
      <c r="E162" s="24">
        <v>100654140</v>
      </c>
      <c r="F162" s="24">
        <v>98577020</v>
      </c>
      <c r="G162" s="25">
        <f t="shared" si="18"/>
        <v>-0.02063621029398294</v>
      </c>
      <c r="H162" s="24">
        <f t="shared" si="16"/>
        <v>100654140</v>
      </c>
      <c r="I162" s="24">
        <f t="shared" si="16"/>
        <v>98577020</v>
      </c>
      <c r="J162" s="25">
        <f t="shared" si="17"/>
        <v>-0.02063621029398294</v>
      </c>
      <c r="K162" s="64">
        <f>I162/I163</f>
        <v>0.04153805706223117</v>
      </c>
    </row>
    <row r="163" spans="1:11" ht="11.25">
      <c r="A163" s="27" t="s">
        <v>47</v>
      </c>
      <c r="B163" s="28">
        <f>SUM(B152:B162)</f>
        <v>901791780</v>
      </c>
      <c r="C163" s="28">
        <f>SUM(C152:C162)</f>
        <v>998420080</v>
      </c>
      <c r="D163" s="29">
        <f>(C163-B163)/B163</f>
        <v>0.10715145352067858</v>
      </c>
      <c r="E163" s="28">
        <f>SUM(E152:E162)</f>
        <v>1307390200</v>
      </c>
      <c r="F163" s="28">
        <f>SUM(F152:F162)</f>
        <v>1374753510</v>
      </c>
      <c r="G163" s="29">
        <f t="shared" si="18"/>
        <v>0.05152502290440911</v>
      </c>
      <c r="H163" s="37">
        <f>SUM(H152:H162)</f>
        <v>2209181980</v>
      </c>
      <c r="I163" s="37">
        <f>SUM(I152:I162)</f>
        <v>2373173590</v>
      </c>
      <c r="J163" s="30">
        <f t="shared" si="17"/>
        <v>0.07423182494001694</v>
      </c>
      <c r="K163" s="25">
        <f>SUM(K152:K162)</f>
        <v>1</v>
      </c>
    </row>
    <row r="164" spans="1:10" ht="11.25">
      <c r="A164" s="31" t="s">
        <v>73</v>
      </c>
      <c r="H164" s="67">
        <v>-740620</v>
      </c>
      <c r="I164" s="67">
        <f>-715470-530</f>
        <v>-716000</v>
      </c>
      <c r="J164" s="25">
        <f>(I164-H164)/H164</f>
        <v>-0.03324241851421782</v>
      </c>
    </row>
    <row r="165" spans="1:10" ht="11.25">
      <c r="A165" s="31" t="s">
        <v>70</v>
      </c>
      <c r="H165" s="67">
        <v>-9814050</v>
      </c>
      <c r="I165" s="67">
        <v>-14099010</v>
      </c>
      <c r="J165" s="25">
        <f>(I165-H165)/H165</f>
        <v>0.4366148531951641</v>
      </c>
    </row>
    <row r="166" spans="1:10" ht="11.25">
      <c r="A166" s="31" t="s">
        <v>49</v>
      </c>
      <c r="C166" s="32"/>
      <c r="H166" s="67">
        <v>-79060830</v>
      </c>
      <c r="I166" s="67">
        <v>-80978710</v>
      </c>
      <c r="J166" s="25">
        <f>(I166-H166)/H166</f>
        <v>0.02425828314729304</v>
      </c>
    </row>
    <row r="167" spans="1:10" ht="11.25">
      <c r="A167" s="27" t="s">
        <v>50</v>
      </c>
      <c r="B167" s="36"/>
      <c r="C167" s="36"/>
      <c r="D167" s="36"/>
      <c r="E167" s="36"/>
      <c r="F167" s="36"/>
      <c r="G167" s="36"/>
      <c r="H167" s="37">
        <f>SUM(H163:H166)</f>
        <v>2119566480</v>
      </c>
      <c r="I167" s="37">
        <f>SUM(I163:I166)</f>
        <v>2277379870</v>
      </c>
      <c r="J167" s="30">
        <f>(I167-H167)/H167</f>
        <v>0.07445550374999325</v>
      </c>
    </row>
    <row r="168" spans="1:10" ht="11.25">
      <c r="A168" s="31" t="s">
        <v>77</v>
      </c>
      <c r="H168" s="68">
        <v>-23650</v>
      </c>
      <c r="I168" s="68">
        <v>-23990</v>
      </c>
      <c r="J168" s="25">
        <f aca="true" t="shared" si="19" ref="J168:J176">(I168-H168)/H168</f>
        <v>0.01437632135306554</v>
      </c>
    </row>
    <row r="169" spans="1:10" ht="11.25">
      <c r="A169" s="31" t="s">
        <v>78</v>
      </c>
      <c r="H169" s="67">
        <v>-58424707</v>
      </c>
      <c r="I169" s="67">
        <f>-12581211-246321-14982787-41131243</f>
        <v>-68941562</v>
      </c>
      <c r="J169" s="25">
        <f t="shared" si="19"/>
        <v>0.18000697889678763</v>
      </c>
    </row>
    <row r="170" spans="1:10" ht="11.25">
      <c r="A170" s="31" t="s">
        <v>51</v>
      </c>
      <c r="H170" s="67">
        <v>-137545267</v>
      </c>
      <c r="I170" s="67">
        <v>-37496873</v>
      </c>
      <c r="J170" s="25">
        <f t="shared" si="19"/>
        <v>-0.7273852178425012</v>
      </c>
    </row>
    <row r="171" spans="1:10" ht="11.25">
      <c r="A171" s="31" t="s">
        <v>52</v>
      </c>
      <c r="C171" s="24"/>
      <c r="H171" s="67">
        <v>-100990780</v>
      </c>
      <c r="I171" s="67">
        <f>-99551350-113290-381900</f>
        <v>-100046540</v>
      </c>
      <c r="J171" s="25">
        <f t="shared" si="19"/>
        <v>-0.009349764404235713</v>
      </c>
    </row>
    <row r="172" spans="1:10" ht="11.25">
      <c r="A172" s="31" t="s">
        <v>53</v>
      </c>
      <c r="C172" s="24"/>
      <c r="H172" s="67">
        <v>-109330608</v>
      </c>
      <c r="I172" s="67">
        <f>-70101286-38625142</f>
        <v>-108726428</v>
      </c>
      <c r="J172" s="25">
        <f t="shared" si="19"/>
        <v>-0.005526174335370018</v>
      </c>
    </row>
    <row r="173" spans="1:10" ht="11.25">
      <c r="A173" s="31" t="s">
        <v>54</v>
      </c>
      <c r="F173" s="24"/>
      <c r="H173" s="67">
        <v>-20780009</v>
      </c>
      <c r="I173" s="67">
        <v>-20891179</v>
      </c>
      <c r="J173" s="25">
        <f t="shared" si="19"/>
        <v>0.0053498533133455334</v>
      </c>
    </row>
    <row r="174" spans="1:10" ht="11.25">
      <c r="A174" s="31" t="s">
        <v>55</v>
      </c>
      <c r="H174" s="67">
        <v>-2065654</v>
      </c>
      <c r="I174" s="67">
        <v>-2419398</v>
      </c>
      <c r="J174" s="25">
        <f t="shared" si="19"/>
        <v>0.17125036429140603</v>
      </c>
    </row>
    <row r="175" spans="1:10" ht="11.25">
      <c r="A175" s="31" t="s">
        <v>56</v>
      </c>
      <c r="H175" s="67">
        <v>-2293908</v>
      </c>
      <c r="I175" s="67">
        <v>-2565116</v>
      </c>
      <c r="J175" s="25">
        <f t="shared" si="19"/>
        <v>0.11822967616835549</v>
      </c>
    </row>
    <row r="176" spans="1:10" ht="11.25">
      <c r="A176" s="31" t="s">
        <v>57</v>
      </c>
      <c r="H176" s="67">
        <v>-115218290</v>
      </c>
      <c r="I176" s="67">
        <f>-82397574-40621938</f>
        <v>-123019512</v>
      </c>
      <c r="J176" s="25">
        <f t="shared" si="19"/>
        <v>0.06770819112139227</v>
      </c>
    </row>
    <row r="177" spans="1:10" ht="11.25">
      <c r="A177" s="31" t="s">
        <v>58</v>
      </c>
      <c r="H177" s="38">
        <v>0</v>
      </c>
      <c r="I177" s="38">
        <v>0</v>
      </c>
      <c r="J177" s="25"/>
    </row>
    <row r="178" spans="1:10" ht="11.25">
      <c r="A178" s="31" t="s">
        <v>59</v>
      </c>
      <c r="H178" s="38">
        <v>0</v>
      </c>
      <c r="I178" s="38">
        <v>0</v>
      </c>
      <c r="J178" s="25"/>
    </row>
    <row r="179" spans="1:10" ht="11.25">
      <c r="A179" s="27" t="s">
        <v>60</v>
      </c>
      <c r="B179" s="36"/>
      <c r="C179" s="36"/>
      <c r="D179" s="36"/>
      <c r="E179" s="36"/>
      <c r="F179" s="36"/>
      <c r="G179" s="36"/>
      <c r="H179" s="37">
        <f>SUM(H167:H178)</f>
        <v>1572893607</v>
      </c>
      <c r="I179" s="37">
        <f>SUM(I167:I178)</f>
        <v>1813249272</v>
      </c>
      <c r="J179" s="30">
        <f>(I179-H179)/H179</f>
        <v>0.1528111398827753</v>
      </c>
    </row>
    <row r="180" spans="1:9" ht="11.25">
      <c r="A180" s="39" t="s">
        <v>61</v>
      </c>
      <c r="E180" s="24">
        <v>83548857</v>
      </c>
      <c r="F180" s="24">
        <v>95905313</v>
      </c>
      <c r="G180" s="42">
        <f>(F180-E180)/E180</f>
        <v>0.14789497359610795</v>
      </c>
      <c r="H180" s="43" t="s">
        <v>95</v>
      </c>
      <c r="I180" s="44">
        <f>534659467+368938520</f>
        <v>903597987</v>
      </c>
    </row>
    <row r="181" spans="1:11" ht="11.25">
      <c r="A181" s="39" t="s">
        <v>19</v>
      </c>
      <c r="E181" s="49">
        <v>564951.42</v>
      </c>
      <c r="F181" s="49">
        <v>653703.88</v>
      </c>
      <c r="G181" s="42">
        <f>(F181-E181)/E181</f>
        <v>0.1570975076051671</v>
      </c>
      <c r="H181" s="43" t="s">
        <v>96</v>
      </c>
      <c r="I181" s="44">
        <v>909651285</v>
      </c>
      <c r="K181" s="48"/>
    </row>
    <row r="182" spans="1:9" ht="11.25">
      <c r="A182" s="39" t="str">
        <f>A145</f>
        <v>2005 Adopted/2006 Revenue Neutral Tax Rate</v>
      </c>
      <c r="E182" s="61">
        <v>1.5</v>
      </c>
      <c r="F182" s="61">
        <v>1.29569</v>
      </c>
      <c r="G182" s="42">
        <f>(F182-E182)/E182</f>
        <v>-0.13620666666666667</v>
      </c>
      <c r="H182" s="24"/>
      <c r="I182" s="51">
        <f>SUM(I180:I181)</f>
        <v>1813249272</v>
      </c>
    </row>
    <row r="183" spans="1:10" ht="11.25">
      <c r="A183" s="39" t="s">
        <v>62</v>
      </c>
      <c r="B183" s="40"/>
      <c r="C183" s="40"/>
      <c r="D183" s="40"/>
      <c r="E183" s="40"/>
      <c r="F183" s="40"/>
      <c r="G183" s="40"/>
      <c r="H183" s="44">
        <f>(H179-E180)*E182/100+E181</f>
        <v>22905122.67</v>
      </c>
      <c r="I183" s="44">
        <f>(I179-F180)*F182/100+F181</f>
        <v>22905157.8223671</v>
      </c>
      <c r="J183" s="42">
        <f>(I183-H183)/H183</f>
        <v>1.534694557319928E-06</v>
      </c>
    </row>
    <row r="184" spans="1:10" ht="11.25">
      <c r="A184" s="39" t="s">
        <v>18</v>
      </c>
      <c r="H184" s="24">
        <v>14940248</v>
      </c>
      <c r="I184" s="24">
        <v>14989778</v>
      </c>
      <c r="J184" s="42">
        <f>(I184-H184)/H184</f>
        <v>0.0033152060126445024</v>
      </c>
    </row>
    <row r="185" spans="1:10" ht="11.25">
      <c r="A185" s="39" t="s">
        <v>17</v>
      </c>
      <c r="H185" s="24">
        <v>72944</v>
      </c>
      <c r="I185" s="24">
        <f>27861+47514+457</f>
        <v>75832</v>
      </c>
      <c r="J185" s="42">
        <f>(I185-H185)/H185</f>
        <v>0.03959201579293705</v>
      </c>
    </row>
    <row r="186" spans="1:10" ht="11.25">
      <c r="A186" s="20" t="s">
        <v>5</v>
      </c>
      <c r="B186" s="21" t="s">
        <v>32</v>
      </c>
      <c r="C186" s="21"/>
      <c r="D186" s="21"/>
      <c r="E186" s="21" t="s">
        <v>33</v>
      </c>
      <c r="F186" s="21"/>
      <c r="G186" s="21"/>
      <c r="H186" s="21" t="s">
        <v>34</v>
      </c>
      <c r="I186" s="21"/>
      <c r="J186" s="21"/>
    </row>
    <row r="187" spans="1:11" ht="11.25">
      <c r="A187" s="22" t="s">
        <v>35</v>
      </c>
      <c r="B187" s="22" t="str">
        <f>B150</f>
        <v>2005 Certified</v>
      </c>
      <c r="C187" s="22" t="str">
        <f>C150</f>
        <v>2006 Certified</v>
      </c>
      <c r="D187" s="23" t="s">
        <v>67</v>
      </c>
      <c r="E187" s="22" t="str">
        <f>B187</f>
        <v>2005 Certified</v>
      </c>
      <c r="F187" s="22" t="str">
        <f>C187</f>
        <v>2006 Certified</v>
      </c>
      <c r="G187" s="23" t="s">
        <v>67</v>
      </c>
      <c r="H187" s="23" t="str">
        <f>H150</f>
        <v>2005 Total</v>
      </c>
      <c r="I187" s="23" t="str">
        <f>I150</f>
        <v>2006 Total</v>
      </c>
      <c r="J187" s="23" t="s">
        <v>67</v>
      </c>
      <c r="K187" s="23" t="s">
        <v>71</v>
      </c>
    </row>
    <row r="189" spans="1:11" ht="11.25">
      <c r="A189" s="22" t="s">
        <v>36</v>
      </c>
      <c r="B189" s="24">
        <v>0</v>
      </c>
      <c r="C189" s="24">
        <v>0</v>
      </c>
      <c r="E189" s="24">
        <v>67126140</v>
      </c>
      <c r="F189" s="24">
        <v>75953800</v>
      </c>
      <c r="G189" s="25">
        <f>(F189-E189)/E189</f>
        <v>0.13150853005997365</v>
      </c>
      <c r="H189" s="24">
        <f aca="true" t="shared" si="20" ref="H189:I199">B189+E189</f>
        <v>67126140</v>
      </c>
      <c r="I189" s="24">
        <f t="shared" si="20"/>
        <v>75953800</v>
      </c>
      <c r="J189" s="25">
        <f aca="true" t="shared" si="21" ref="J189:J197">(I189-H189)/H189</f>
        <v>0.13150853005997365</v>
      </c>
      <c r="K189" s="56">
        <f>I189/I200</f>
        <v>0.2044218582376407</v>
      </c>
    </row>
    <row r="190" spans="1:11" ht="11.25">
      <c r="A190" s="22" t="s">
        <v>37</v>
      </c>
      <c r="B190" s="24">
        <v>0</v>
      </c>
      <c r="C190" s="24">
        <v>0</v>
      </c>
      <c r="E190" s="24">
        <v>1458730</v>
      </c>
      <c r="F190" s="24">
        <v>1458730</v>
      </c>
      <c r="G190" s="25">
        <f>(F190-E190)/E190</f>
        <v>0</v>
      </c>
      <c r="H190" s="24">
        <f t="shared" si="20"/>
        <v>1458730</v>
      </c>
      <c r="I190" s="24">
        <f t="shared" si="20"/>
        <v>1458730</v>
      </c>
      <c r="J190" s="25">
        <f t="shared" si="21"/>
        <v>0</v>
      </c>
      <c r="K190" s="56">
        <f>I190/I200</f>
        <v>0.003926022098525599</v>
      </c>
    </row>
    <row r="191" spans="1:11" ht="11.25">
      <c r="A191" s="22" t="s">
        <v>38</v>
      </c>
      <c r="B191" s="24">
        <v>0</v>
      </c>
      <c r="C191" s="24">
        <v>0</v>
      </c>
      <c r="E191" s="24">
        <v>4085010</v>
      </c>
      <c r="F191" s="24">
        <v>4034930</v>
      </c>
      <c r="G191" s="25">
        <f>(F191-E191)/E191</f>
        <v>-0.012259455913204619</v>
      </c>
      <c r="H191" s="24">
        <f t="shared" si="20"/>
        <v>4085010</v>
      </c>
      <c r="I191" s="24">
        <f t="shared" si="20"/>
        <v>4034930</v>
      </c>
      <c r="J191" s="25">
        <f t="shared" si="21"/>
        <v>-0.012259455913204619</v>
      </c>
      <c r="K191" s="56">
        <f>I191/I200</f>
        <v>0.010859600026052726</v>
      </c>
    </row>
    <row r="192" spans="1:11" ht="11.25">
      <c r="A192" s="22" t="s">
        <v>39</v>
      </c>
      <c r="B192" s="24">
        <v>0</v>
      </c>
      <c r="C192" s="24">
        <v>0</v>
      </c>
      <c r="E192" s="24">
        <v>28282220</v>
      </c>
      <c r="F192" s="24">
        <f>22089190+7589800</f>
        <v>29678990</v>
      </c>
      <c r="G192" s="25">
        <f>(F192-E192)/E192</f>
        <v>0.049386858598794575</v>
      </c>
      <c r="H192" s="24">
        <f t="shared" si="20"/>
        <v>28282220</v>
      </c>
      <c r="I192" s="24">
        <f t="shared" si="20"/>
        <v>29678990</v>
      </c>
      <c r="J192" s="25">
        <f t="shared" si="21"/>
        <v>0.049386858598794575</v>
      </c>
      <c r="K192" s="56">
        <f>I192/I200</f>
        <v>0.07987795589445632</v>
      </c>
    </row>
    <row r="193" spans="1:11" ht="11.25">
      <c r="A193" s="22" t="s">
        <v>40</v>
      </c>
      <c r="B193" s="24">
        <v>0</v>
      </c>
      <c r="C193" s="24">
        <v>0</v>
      </c>
      <c r="D193" s="25"/>
      <c r="E193" s="24">
        <v>7993420</v>
      </c>
      <c r="F193" s="24">
        <v>8467750</v>
      </c>
      <c r="G193" s="25">
        <f>(F193-E193)/E193</f>
        <v>0.05934005719704457</v>
      </c>
      <c r="H193" s="24">
        <f t="shared" si="20"/>
        <v>7993420</v>
      </c>
      <c r="I193" s="24">
        <f t="shared" si="20"/>
        <v>8467750</v>
      </c>
      <c r="J193" s="25">
        <f t="shared" si="21"/>
        <v>0.05934005719704457</v>
      </c>
      <c r="K193" s="56">
        <f>I193/I200</f>
        <v>0.022790080155196738</v>
      </c>
    </row>
    <row r="194" spans="1:11" ht="11.25">
      <c r="A194" s="22" t="s">
        <v>41</v>
      </c>
      <c r="B194" s="24">
        <v>125918390</v>
      </c>
      <c r="C194" s="24">
        <v>155788310</v>
      </c>
      <c r="D194" s="25">
        <f>(C194-B194)/B194</f>
        <v>0.23721650189460014</v>
      </c>
      <c r="E194" s="24">
        <v>0</v>
      </c>
      <c r="F194" s="24">
        <v>0</v>
      </c>
      <c r="G194" s="25"/>
      <c r="H194" s="24">
        <f t="shared" si="20"/>
        <v>125918390</v>
      </c>
      <c r="I194" s="24">
        <f t="shared" si="20"/>
        <v>155788310</v>
      </c>
      <c r="J194" s="25">
        <f t="shared" si="21"/>
        <v>0.23721650189460014</v>
      </c>
      <c r="K194" s="56">
        <f>I194/I200</f>
        <v>0.41928824919755986</v>
      </c>
    </row>
    <row r="195" spans="1:11" ht="11.25">
      <c r="A195" s="22" t="s">
        <v>42</v>
      </c>
      <c r="B195" s="24"/>
      <c r="C195" s="24"/>
      <c r="D195" s="25"/>
      <c r="E195" s="24">
        <v>229330</v>
      </c>
      <c r="F195" s="24">
        <v>202320</v>
      </c>
      <c r="G195" s="25">
        <f>(F195-E195)/E195</f>
        <v>-0.11777787467841103</v>
      </c>
      <c r="H195" s="24">
        <f t="shared" si="20"/>
        <v>229330</v>
      </c>
      <c r="I195" s="24">
        <f t="shared" si="20"/>
        <v>202320</v>
      </c>
      <c r="J195" s="25">
        <f t="shared" si="21"/>
        <v>-0.11777787467841103</v>
      </c>
      <c r="K195" s="56">
        <f>I195/I200</f>
        <v>0.0005445235176994366</v>
      </c>
    </row>
    <row r="196" spans="1:11" ht="11.25">
      <c r="A196" s="22" t="s">
        <v>43</v>
      </c>
      <c r="B196" s="24">
        <v>61173930</v>
      </c>
      <c r="C196" s="24">
        <v>82937800</v>
      </c>
      <c r="D196" s="25">
        <f>(C196-B196)/B196</f>
        <v>0.355770342039493</v>
      </c>
      <c r="E196" s="24">
        <v>3144020</v>
      </c>
      <c r="F196" s="24">
        <v>2972560</v>
      </c>
      <c r="G196" s="25">
        <f>(F196-E196)/E196</f>
        <v>-0.05453527649315208</v>
      </c>
      <c r="H196" s="24">
        <f t="shared" si="20"/>
        <v>64317950</v>
      </c>
      <c r="I196" s="24">
        <f t="shared" si="20"/>
        <v>85910360</v>
      </c>
      <c r="J196" s="25">
        <f t="shared" si="21"/>
        <v>0.33571359161789205</v>
      </c>
      <c r="K196" s="56">
        <f>I196/I200</f>
        <v>0.2312189177245204</v>
      </c>
    </row>
    <row r="197" spans="1:11" ht="11.25">
      <c r="A197" s="22" t="s">
        <v>44</v>
      </c>
      <c r="B197" s="24">
        <v>0</v>
      </c>
      <c r="C197" s="24">
        <v>0</v>
      </c>
      <c r="D197" s="25"/>
      <c r="E197" s="24">
        <v>7877940</v>
      </c>
      <c r="F197" s="24">
        <v>6552600</v>
      </c>
      <c r="G197" s="25">
        <f>(F197-E197)/E197</f>
        <v>-0.16823433537193733</v>
      </c>
      <c r="H197" s="24">
        <f t="shared" si="20"/>
        <v>7877940</v>
      </c>
      <c r="I197" s="24">
        <f t="shared" si="20"/>
        <v>6552600</v>
      </c>
      <c r="J197" s="25">
        <f t="shared" si="21"/>
        <v>-0.16823433537193733</v>
      </c>
      <c r="K197" s="56">
        <f>I197/I200</f>
        <v>0.017635650464992724</v>
      </c>
    </row>
    <row r="198" spans="1:11" ht="11.25">
      <c r="A198" s="22" t="s">
        <v>45</v>
      </c>
      <c r="B198" s="24">
        <v>0</v>
      </c>
      <c r="C198" s="24">
        <v>0</v>
      </c>
      <c r="D198" s="25"/>
      <c r="E198" s="24">
        <v>0</v>
      </c>
      <c r="F198" s="24">
        <v>0</v>
      </c>
      <c r="G198" s="25"/>
      <c r="H198" s="24">
        <f t="shared" si="20"/>
        <v>0</v>
      </c>
      <c r="I198" s="24">
        <f t="shared" si="20"/>
        <v>0</v>
      </c>
      <c r="J198" s="25"/>
      <c r="K198" s="56">
        <f>I198/I200</f>
        <v>0</v>
      </c>
    </row>
    <row r="199" spans="1:11" ht="11.25">
      <c r="A199" s="22" t="s">
        <v>46</v>
      </c>
      <c r="B199" s="24">
        <v>0</v>
      </c>
      <c r="C199" s="24">
        <v>0</v>
      </c>
      <c r="D199" s="25"/>
      <c r="E199" s="24">
        <v>2195540</v>
      </c>
      <c r="F199" s="24">
        <v>3506410</v>
      </c>
      <c r="G199" s="25">
        <f>(F199-E199)/E199</f>
        <v>0.5970604042741193</v>
      </c>
      <c r="H199" s="24">
        <f t="shared" si="20"/>
        <v>2195540</v>
      </c>
      <c r="I199" s="24">
        <f t="shared" si="20"/>
        <v>3506410</v>
      </c>
      <c r="J199" s="25">
        <f>(I199-H199)/H199</f>
        <v>0.5970604042741193</v>
      </c>
      <c r="K199" s="64">
        <f>I199/I200</f>
        <v>0.009437142683355484</v>
      </c>
    </row>
    <row r="200" spans="1:11" ht="11.25">
      <c r="A200" s="27" t="s">
        <v>47</v>
      </c>
      <c r="B200" s="28">
        <f>SUM(B193:B199)</f>
        <v>187092320</v>
      </c>
      <c r="C200" s="28">
        <f>SUM(C193:C199)</f>
        <v>238726110</v>
      </c>
      <c r="D200" s="29">
        <f>(C200-B200)/B200</f>
        <v>0.27598027540628073</v>
      </c>
      <c r="E200" s="28">
        <f>SUM(E189:E199)</f>
        <v>122392350</v>
      </c>
      <c r="F200" s="28">
        <f>SUM(F189:F199)</f>
        <v>132828090</v>
      </c>
      <c r="G200" s="29">
        <f>(F200-E200)/E200</f>
        <v>0.08526464276566305</v>
      </c>
      <c r="H200" s="37">
        <f>SUM(H189:H199)</f>
        <v>309484670</v>
      </c>
      <c r="I200" s="37">
        <f>SUM(I189:I199)</f>
        <v>371554200</v>
      </c>
      <c r="J200" s="30">
        <f>(I200-H200)/H200</f>
        <v>0.20055768836627674</v>
      </c>
      <c r="K200" s="25">
        <f>SUM(K189:K199)</f>
        <v>1</v>
      </c>
    </row>
    <row r="201" spans="1:10" ht="11.25">
      <c r="A201" s="31" t="s">
        <v>73</v>
      </c>
      <c r="H201" s="67">
        <v>-232190</v>
      </c>
      <c r="I201" s="67">
        <f>-231930-310</f>
        <v>-232240</v>
      </c>
      <c r="J201" s="45"/>
    </row>
    <row r="202" spans="1:10" ht="11.25">
      <c r="A202" s="31" t="s">
        <v>70</v>
      </c>
      <c r="F202" s="48"/>
      <c r="H202" s="67">
        <v>-1169070</v>
      </c>
      <c r="I202" s="67">
        <v>-1873530</v>
      </c>
      <c r="J202" s="45">
        <f>(I202-H202)/H202</f>
        <v>0.6025815391721625</v>
      </c>
    </row>
    <row r="203" spans="1:10" ht="11.25">
      <c r="A203" s="31" t="s">
        <v>49</v>
      </c>
      <c r="H203" s="67">
        <v>-12192940</v>
      </c>
      <c r="I203" s="67">
        <v>-13158180</v>
      </c>
      <c r="J203" s="45">
        <f>(I203-H203)/H203</f>
        <v>0.07916384399496758</v>
      </c>
    </row>
    <row r="204" spans="1:10" ht="11.25">
      <c r="A204" s="27" t="s">
        <v>50</v>
      </c>
      <c r="B204" s="36"/>
      <c r="C204" s="36"/>
      <c r="D204" s="36"/>
      <c r="E204" s="36"/>
      <c r="F204" s="36"/>
      <c r="G204" s="36"/>
      <c r="H204" s="37">
        <f>SUM(H200:H203)</f>
        <v>295890470</v>
      </c>
      <c r="I204" s="37">
        <f>SUM(I200:I203)</f>
        <v>356290250</v>
      </c>
      <c r="J204" s="30">
        <f>(I204-H204)/H204</f>
        <v>0.20412884537984613</v>
      </c>
    </row>
    <row r="205" spans="1:10" ht="11.25">
      <c r="A205" s="31" t="s">
        <v>77</v>
      </c>
      <c r="H205" s="68">
        <v>-680</v>
      </c>
      <c r="I205" s="68">
        <v>-3170</v>
      </c>
      <c r="J205" s="25">
        <f>(I205-H205)/H205</f>
        <v>3.661764705882353</v>
      </c>
    </row>
    <row r="206" spans="1:10" ht="11.25">
      <c r="A206" s="31" t="s">
        <v>78</v>
      </c>
      <c r="H206" s="68">
        <v>0</v>
      </c>
      <c r="I206" s="38">
        <v>0</v>
      </c>
      <c r="J206" s="25"/>
    </row>
    <row r="207" spans="1:10" ht="11.25">
      <c r="A207" s="31" t="s">
        <v>51</v>
      </c>
      <c r="H207" s="38">
        <v>0</v>
      </c>
      <c r="I207" s="38">
        <v>0</v>
      </c>
      <c r="J207" s="25"/>
    </row>
    <row r="208" spans="1:10" ht="11.25">
      <c r="A208" s="31" t="s">
        <v>52</v>
      </c>
      <c r="H208" s="67">
        <v>-2352370</v>
      </c>
      <c r="I208" s="67">
        <f>-3693120-48210</f>
        <v>-3741330</v>
      </c>
      <c r="J208" s="25">
        <f aca="true" t="shared" si="22" ref="J208:J213">(I208-H208)/H208</f>
        <v>0.5904513320608578</v>
      </c>
    </row>
    <row r="209" spans="1:10" ht="11.25">
      <c r="A209" s="31" t="s">
        <v>53</v>
      </c>
      <c r="H209" s="67">
        <v>-13881600</v>
      </c>
      <c r="I209" s="67">
        <f>-9917800-4139230</f>
        <v>-14057030</v>
      </c>
      <c r="J209" s="25">
        <f t="shared" si="22"/>
        <v>0.012637592208390964</v>
      </c>
    </row>
    <row r="210" spans="1:10" ht="11.25">
      <c r="A210" s="31" t="s">
        <v>54</v>
      </c>
      <c r="H210" s="67">
        <v>-2062170</v>
      </c>
      <c r="I210" s="67">
        <v>-2160346</v>
      </c>
      <c r="J210" s="25">
        <f t="shared" si="22"/>
        <v>0.047608102144828024</v>
      </c>
    </row>
    <row r="211" spans="1:10" ht="11.25">
      <c r="A211" s="31" t="s">
        <v>55</v>
      </c>
      <c r="H211" s="67">
        <v>-276666</v>
      </c>
      <c r="I211" s="67">
        <v>-347342</v>
      </c>
      <c r="J211" s="25">
        <f t="shared" si="22"/>
        <v>0.2554560372434632</v>
      </c>
    </row>
    <row r="212" spans="1:10" ht="11.25">
      <c r="A212" s="31" t="s">
        <v>56</v>
      </c>
      <c r="H212" s="67">
        <v>-246300</v>
      </c>
      <c r="I212" s="67">
        <v>-273760</v>
      </c>
      <c r="J212" s="25">
        <f t="shared" si="22"/>
        <v>0.11149005278116118</v>
      </c>
    </row>
    <row r="213" spans="1:10" ht="11.25">
      <c r="A213" s="31" t="s">
        <v>57</v>
      </c>
      <c r="H213" s="67">
        <v>-13273672</v>
      </c>
      <c r="I213" s="67">
        <f>-10186990-4214228</f>
        <v>-14401218</v>
      </c>
      <c r="J213" s="25">
        <f t="shared" si="22"/>
        <v>0.08494604959351112</v>
      </c>
    </row>
    <row r="214" spans="1:10" ht="11.25">
      <c r="A214" s="31" t="s">
        <v>58</v>
      </c>
      <c r="H214" s="38">
        <v>0</v>
      </c>
      <c r="I214" s="38">
        <v>0</v>
      </c>
      <c r="J214" s="25"/>
    </row>
    <row r="215" spans="1:10" ht="11.25">
      <c r="A215" s="31" t="s">
        <v>59</v>
      </c>
      <c r="H215" s="38">
        <v>0</v>
      </c>
      <c r="I215" s="38">
        <v>0</v>
      </c>
      <c r="J215" s="25"/>
    </row>
    <row r="216" spans="1:10" ht="11.25">
      <c r="A216" s="27" t="s">
        <v>60</v>
      </c>
      <c r="B216" s="36"/>
      <c r="C216" s="36"/>
      <c r="D216" s="36"/>
      <c r="E216" s="36"/>
      <c r="F216" s="36"/>
      <c r="G216" s="36"/>
      <c r="H216" s="37">
        <f>SUM(H204:H213)</f>
        <v>263797012</v>
      </c>
      <c r="I216" s="37">
        <f>SUM(I204:I215)</f>
        <v>321306054</v>
      </c>
      <c r="J216" s="30">
        <f>(I216-H216)/H216</f>
        <v>0.218004902951668</v>
      </c>
    </row>
    <row r="217" spans="1:9" ht="11.25">
      <c r="A217" s="39" t="s">
        <v>61</v>
      </c>
      <c r="E217" s="24">
        <v>7610496</v>
      </c>
      <c r="F217" s="24">
        <v>9401354</v>
      </c>
      <c r="G217" s="42">
        <f>(F217-E217)/E217</f>
        <v>0.2353142291908438</v>
      </c>
      <c r="H217" s="43" t="s">
        <v>95</v>
      </c>
      <c r="I217" s="44">
        <f>82937490+155508170</f>
        <v>238445660</v>
      </c>
    </row>
    <row r="218" spans="1:9" ht="11.25">
      <c r="A218" s="39" t="s">
        <v>19</v>
      </c>
      <c r="E218" s="49">
        <v>57239.09</v>
      </c>
      <c r="F218" s="49">
        <v>74140.28</v>
      </c>
      <c r="G218" s="42">
        <f>(F218-E218)/E218</f>
        <v>0.2952735621757789</v>
      </c>
      <c r="H218" s="43" t="s">
        <v>96</v>
      </c>
      <c r="I218" s="44">
        <v>82860394</v>
      </c>
    </row>
    <row r="219" spans="1:9" ht="11.25">
      <c r="A219" s="39" t="str">
        <f>A182</f>
        <v>2005 Adopted/2006 Revenue Neutral Tax Rate</v>
      </c>
      <c r="E219" s="61">
        <v>1.7249</v>
      </c>
      <c r="F219" s="61">
        <v>1.41135</v>
      </c>
      <c r="G219" s="42">
        <f>(F219-E219)/E219</f>
        <v>-0.1817786538350049</v>
      </c>
      <c r="H219" s="24"/>
      <c r="I219" s="51">
        <f>SUM(I217:I218)</f>
        <v>321306054</v>
      </c>
    </row>
    <row r="220" spans="1:10" ht="11.25">
      <c r="A220" s="39" t="s">
        <v>62</v>
      </c>
      <c r="B220" s="40"/>
      <c r="C220" s="40"/>
      <c r="D220" s="40"/>
      <c r="E220" s="40"/>
      <c r="F220" s="40"/>
      <c r="G220" s="40"/>
      <c r="H220" s="44">
        <f>(H216-E217)*E219/100+E218</f>
        <v>4476200.304484</v>
      </c>
      <c r="I220" s="44">
        <f>(I216-F217)*F219/100+F218</f>
        <v>4476207.26345</v>
      </c>
      <c r="J220" s="42">
        <f>(I220-H220)/H220</f>
        <v>1.5546592034843727E-06</v>
      </c>
    </row>
    <row r="221" spans="1:10" ht="11.25">
      <c r="A221" s="39" t="s">
        <v>18</v>
      </c>
      <c r="H221" s="24">
        <v>1738142</v>
      </c>
      <c r="I221" s="24">
        <v>2031330</v>
      </c>
      <c r="J221" s="42">
        <f>(I221-H221)/H221</f>
        <v>0.16867896869185603</v>
      </c>
    </row>
    <row r="222" spans="1:10" ht="11.25">
      <c r="A222" s="39" t="s">
        <v>17</v>
      </c>
      <c r="H222" s="24">
        <v>27149</v>
      </c>
      <c r="I222" s="24">
        <f>3914+24034+181</f>
        <v>28129</v>
      </c>
      <c r="J222" s="42">
        <f>(I222-H222)/H222</f>
        <v>0.03609709381561015</v>
      </c>
    </row>
    <row r="223" spans="1:10" ht="11.25">
      <c r="A223" s="20" t="s">
        <v>8</v>
      </c>
      <c r="B223" s="21" t="s">
        <v>32</v>
      </c>
      <c r="C223" s="21"/>
      <c r="D223" s="21"/>
      <c r="E223" s="21" t="s">
        <v>33</v>
      </c>
      <c r="F223" s="21"/>
      <c r="G223" s="21"/>
      <c r="H223" s="21" t="s">
        <v>34</v>
      </c>
      <c r="I223" s="21"/>
      <c r="J223" s="21"/>
    </row>
    <row r="224" spans="1:11" ht="11.25">
      <c r="A224" s="22" t="s">
        <v>35</v>
      </c>
      <c r="B224" s="22" t="str">
        <f>B187</f>
        <v>2005 Certified</v>
      </c>
      <c r="C224" s="22" t="str">
        <f>C187</f>
        <v>2006 Certified</v>
      </c>
      <c r="D224" s="23" t="s">
        <v>67</v>
      </c>
      <c r="E224" s="22" t="str">
        <f>B224</f>
        <v>2005 Certified</v>
      </c>
      <c r="F224" s="22" t="str">
        <f>C224</f>
        <v>2006 Certified</v>
      </c>
      <c r="G224" s="23" t="s">
        <v>67</v>
      </c>
      <c r="H224" s="23" t="str">
        <f>H187</f>
        <v>2005 Total</v>
      </c>
      <c r="I224" s="23" t="str">
        <f>I187</f>
        <v>2006 Total</v>
      </c>
      <c r="J224" s="23" t="s">
        <v>67</v>
      </c>
      <c r="K224" s="23" t="s">
        <v>71</v>
      </c>
    </row>
    <row r="226" spans="1:11" ht="11.25">
      <c r="A226" s="22" t="s">
        <v>36</v>
      </c>
      <c r="B226" s="24">
        <v>0</v>
      </c>
      <c r="C226" s="24">
        <v>0</v>
      </c>
      <c r="E226" s="24">
        <v>1314234170</v>
      </c>
      <c r="F226" s="24">
        <v>1441651930</v>
      </c>
      <c r="G226" s="25">
        <f>(F226-E226)/E226</f>
        <v>0.09695209796592033</v>
      </c>
      <c r="H226" s="24">
        <f aca="true" t="shared" si="23" ref="H226:I236">B226+E226</f>
        <v>1314234170</v>
      </c>
      <c r="I226" s="24">
        <f t="shared" si="23"/>
        <v>1441651930</v>
      </c>
      <c r="J226" s="25">
        <f aca="true" t="shared" si="24" ref="J226:J245">(I226-H226)/H226</f>
        <v>0.09695209796592033</v>
      </c>
      <c r="K226" s="56">
        <f>I226/I237</f>
        <v>0.2507396317896611</v>
      </c>
    </row>
    <row r="227" spans="1:11" ht="11.25">
      <c r="A227" s="22" t="s">
        <v>37</v>
      </c>
      <c r="B227" s="24">
        <v>0</v>
      </c>
      <c r="C227" s="24">
        <v>0</v>
      </c>
      <c r="E227" s="24">
        <v>29201190</v>
      </c>
      <c r="F227" s="24">
        <v>30820710</v>
      </c>
      <c r="G227" s="25">
        <f>(F227-E227)/E227</f>
        <v>0.05546075348299162</v>
      </c>
      <c r="H227" s="24">
        <f t="shared" si="23"/>
        <v>29201190</v>
      </c>
      <c r="I227" s="24">
        <f t="shared" si="23"/>
        <v>30820710</v>
      </c>
      <c r="J227" s="25">
        <f t="shared" si="24"/>
        <v>0.05546075348299162</v>
      </c>
      <c r="K227" s="56">
        <f>I227/I237</f>
        <v>0.0053604988250499025</v>
      </c>
    </row>
    <row r="228" spans="1:11" ht="11.25">
      <c r="A228" s="22" t="s">
        <v>38</v>
      </c>
      <c r="B228" s="24">
        <v>0</v>
      </c>
      <c r="C228" s="24">
        <v>0</v>
      </c>
      <c r="E228" s="24">
        <v>43464870</v>
      </c>
      <c r="F228" s="24">
        <v>47063000</v>
      </c>
      <c r="G228" s="25">
        <f>(F228-E228)/E228</f>
        <v>0.08278248617791793</v>
      </c>
      <c r="H228" s="24">
        <f t="shared" si="23"/>
        <v>43464870</v>
      </c>
      <c r="I228" s="24">
        <f t="shared" si="23"/>
        <v>47063000</v>
      </c>
      <c r="J228" s="25">
        <f t="shared" si="24"/>
        <v>0.08278248617791793</v>
      </c>
      <c r="K228" s="56">
        <f>I228/I237</f>
        <v>0.008185442717034214</v>
      </c>
    </row>
    <row r="229" spans="1:11" ht="11.25">
      <c r="A229" s="22" t="s">
        <v>39</v>
      </c>
      <c r="B229" s="24">
        <v>0</v>
      </c>
      <c r="C229" s="24">
        <v>0</v>
      </c>
      <c r="E229" s="24">
        <v>478842180</v>
      </c>
      <c r="F229" s="24">
        <f>343749470+182075520</f>
        <v>525824990</v>
      </c>
      <c r="G229" s="25">
        <f>(F229-E229)/E229</f>
        <v>0.09811752590383746</v>
      </c>
      <c r="H229" s="24">
        <f t="shared" si="23"/>
        <v>478842180</v>
      </c>
      <c r="I229" s="24">
        <f t="shared" si="23"/>
        <v>525824990</v>
      </c>
      <c r="J229" s="25">
        <f t="shared" si="24"/>
        <v>0.09811752590383746</v>
      </c>
      <c r="K229" s="56">
        <f>I229/I237</f>
        <v>0.09145422805239974</v>
      </c>
    </row>
    <row r="230" spans="1:11" ht="11.25">
      <c r="A230" s="22" t="s">
        <v>40</v>
      </c>
      <c r="B230" s="24">
        <v>0</v>
      </c>
      <c r="C230" s="24">
        <v>0</v>
      </c>
      <c r="D230" s="25"/>
      <c r="E230" s="24">
        <v>274975960</v>
      </c>
      <c r="F230" s="24">
        <v>279681930</v>
      </c>
      <c r="G230" s="25">
        <f>(F230-E230)/E230</f>
        <v>0.017114114266570793</v>
      </c>
      <c r="H230" s="24">
        <f t="shared" si="23"/>
        <v>274975960</v>
      </c>
      <c r="I230" s="24">
        <f t="shared" si="23"/>
        <v>279681930</v>
      </c>
      <c r="J230" s="25">
        <f t="shared" si="24"/>
        <v>0.017114114266570793</v>
      </c>
      <c r="K230" s="56">
        <f>I230/I237</f>
        <v>0.048643741729268705</v>
      </c>
    </row>
    <row r="231" spans="1:11" ht="11.25">
      <c r="A231" s="22" t="s">
        <v>41</v>
      </c>
      <c r="B231" s="24">
        <v>587350630</v>
      </c>
      <c r="C231" s="24">
        <v>875814810</v>
      </c>
      <c r="D231" s="25">
        <f>(C231-B231)/B231</f>
        <v>0.49112772723168785</v>
      </c>
      <c r="E231" s="24"/>
      <c r="F231" s="24"/>
      <c r="G231" s="25"/>
      <c r="H231" s="24">
        <f t="shared" si="23"/>
        <v>587350630</v>
      </c>
      <c r="I231" s="24">
        <f t="shared" si="23"/>
        <v>875814810</v>
      </c>
      <c r="J231" s="25">
        <f t="shared" si="24"/>
        <v>0.49112772723168785</v>
      </c>
      <c r="K231" s="56">
        <f>I231/I237</f>
        <v>0.15232628514937857</v>
      </c>
    </row>
    <row r="232" spans="1:11" ht="11.25">
      <c r="A232" s="22" t="s">
        <v>42</v>
      </c>
      <c r="B232" s="24">
        <v>0</v>
      </c>
      <c r="C232" s="24">
        <v>0</v>
      </c>
      <c r="D232" s="25"/>
      <c r="E232" s="24">
        <v>4952640</v>
      </c>
      <c r="F232" s="24">
        <v>3088700</v>
      </c>
      <c r="G232" s="25">
        <f aca="true" t="shared" si="25" ref="G232:G237">(F232-E232)/E232</f>
        <v>-0.37635281385281383</v>
      </c>
      <c r="H232" s="24">
        <f t="shared" si="23"/>
        <v>4952640</v>
      </c>
      <c r="I232" s="24">
        <f t="shared" si="23"/>
        <v>3088700</v>
      </c>
      <c r="J232" s="25">
        <f t="shared" si="24"/>
        <v>-0.37635281385281383</v>
      </c>
      <c r="K232" s="56">
        <f>I232/I237</f>
        <v>0.00053720283280079</v>
      </c>
    </row>
    <row r="233" spans="1:11" ht="11.25">
      <c r="A233" s="22" t="s">
        <v>43</v>
      </c>
      <c r="B233" s="24">
        <v>2088460870</v>
      </c>
      <c r="C233" s="24">
        <v>2157844080</v>
      </c>
      <c r="D233" s="25">
        <f>(C233-B233)/B233</f>
        <v>0.0332221738011304</v>
      </c>
      <c r="E233" s="24">
        <v>173675680</v>
      </c>
      <c r="F233" s="24">
        <f>174620520+13996730+15580</f>
        <v>188632830</v>
      </c>
      <c r="G233" s="25">
        <f t="shared" si="25"/>
        <v>0.08612115409595633</v>
      </c>
      <c r="H233" s="24">
        <f t="shared" si="23"/>
        <v>2262136550</v>
      </c>
      <c r="I233" s="24">
        <f t="shared" si="23"/>
        <v>2346476910</v>
      </c>
      <c r="J233" s="25">
        <f t="shared" si="24"/>
        <v>0.03728349643614573</v>
      </c>
      <c r="K233" s="56">
        <f>I233/I237</f>
        <v>0.40811151719287864</v>
      </c>
    </row>
    <row r="234" spans="1:11" ht="11.25">
      <c r="A234" s="22" t="s">
        <v>44</v>
      </c>
      <c r="B234" s="24">
        <v>0</v>
      </c>
      <c r="C234" s="24">
        <v>0</v>
      </c>
      <c r="D234" s="25"/>
      <c r="E234" s="24">
        <v>84429270</v>
      </c>
      <c r="F234" s="24">
        <f>69446280+6510</f>
        <v>69452790</v>
      </c>
      <c r="G234" s="25">
        <f t="shared" si="25"/>
        <v>-0.17738492823638058</v>
      </c>
      <c r="H234" s="24">
        <f t="shared" si="23"/>
        <v>84429270</v>
      </c>
      <c r="I234" s="24">
        <f t="shared" si="23"/>
        <v>69452790</v>
      </c>
      <c r="J234" s="25">
        <f t="shared" si="24"/>
        <v>-0.17738492823638058</v>
      </c>
      <c r="K234" s="56">
        <f>I234/I237</f>
        <v>0.012079591910486086</v>
      </c>
    </row>
    <row r="235" spans="1:11" ht="11.25">
      <c r="A235" s="22" t="s">
        <v>45</v>
      </c>
      <c r="B235" s="24">
        <v>0</v>
      </c>
      <c r="C235" s="24">
        <v>0</v>
      </c>
      <c r="D235" s="25"/>
      <c r="E235" s="24">
        <v>2782390</v>
      </c>
      <c r="F235" s="24">
        <v>2814730</v>
      </c>
      <c r="G235" s="25">
        <f t="shared" si="25"/>
        <v>0.011623101003094462</v>
      </c>
      <c r="H235" s="24">
        <f t="shared" si="23"/>
        <v>2782390</v>
      </c>
      <c r="I235" s="24">
        <f t="shared" si="23"/>
        <v>2814730</v>
      </c>
      <c r="J235" s="25">
        <f t="shared" si="24"/>
        <v>0.011623101003094462</v>
      </c>
      <c r="K235" s="56">
        <f>I235/I237</f>
        <v>0.0004895525397640973</v>
      </c>
    </row>
    <row r="236" spans="1:11" ht="11.25">
      <c r="A236" s="22" t="s">
        <v>63</v>
      </c>
      <c r="B236" s="24">
        <v>0</v>
      </c>
      <c r="C236" s="24">
        <v>0</v>
      </c>
      <c r="D236" s="25"/>
      <c r="E236" s="24">
        <v>123601530</v>
      </c>
      <c r="F236" s="24">
        <v>126906880</v>
      </c>
      <c r="G236" s="25"/>
      <c r="H236" s="24">
        <f t="shared" si="23"/>
        <v>123601530</v>
      </c>
      <c r="I236" s="24">
        <f t="shared" si="23"/>
        <v>126906880</v>
      </c>
      <c r="J236" s="25"/>
      <c r="K236" s="64">
        <f>I236/I237</f>
        <v>0.02207230726127818</v>
      </c>
    </row>
    <row r="237" spans="1:11" ht="11.25">
      <c r="A237" s="27" t="s">
        <v>47</v>
      </c>
      <c r="B237" s="28">
        <f>SUM(B226:B236)</f>
        <v>2675811500</v>
      </c>
      <c r="C237" s="28">
        <f>SUM(C226:C236)</f>
        <v>3033658890</v>
      </c>
      <c r="D237" s="29">
        <f>(C237-B237)/B237</f>
        <v>0.13373415504044286</v>
      </c>
      <c r="E237" s="28">
        <f>SUM(E226:E236)</f>
        <v>2530159880</v>
      </c>
      <c r="F237" s="28">
        <f>SUM(F226:F236)</f>
        <v>2715938490</v>
      </c>
      <c r="G237" s="29">
        <f t="shared" si="25"/>
        <v>0.07342564059627726</v>
      </c>
      <c r="H237" s="37">
        <f>SUM(H226:H236)</f>
        <v>5205971380</v>
      </c>
      <c r="I237" s="37">
        <f>SUM(I226:I236)</f>
        <v>5749597380</v>
      </c>
      <c r="J237" s="30">
        <f t="shared" si="24"/>
        <v>0.10442354756087806</v>
      </c>
      <c r="K237" s="25">
        <f>SUM(K226:K236)</f>
        <v>1</v>
      </c>
    </row>
    <row r="238" spans="1:10" ht="11.25">
      <c r="A238" s="31" t="s">
        <v>73</v>
      </c>
      <c r="H238" s="67">
        <v>-1386150</v>
      </c>
      <c r="I238" s="67">
        <f>-1358150-290</f>
        <v>-1358440</v>
      </c>
      <c r="J238" s="25">
        <f t="shared" si="24"/>
        <v>-0.01999062150560906</v>
      </c>
    </row>
    <row r="239" spans="1:10" ht="11.25">
      <c r="A239" s="31" t="s">
        <v>70</v>
      </c>
      <c r="F239" s="48"/>
      <c r="H239" s="67">
        <v>-22537480</v>
      </c>
      <c r="I239" s="67">
        <v>-30952920</v>
      </c>
      <c r="J239" s="25">
        <f t="shared" si="24"/>
        <v>0.37339755820082815</v>
      </c>
    </row>
    <row r="240" spans="1:10" ht="11.25">
      <c r="A240" s="31" t="s">
        <v>49</v>
      </c>
      <c r="H240" s="67">
        <v>-213161760</v>
      </c>
      <c r="I240" s="67">
        <v>-222512030</v>
      </c>
      <c r="J240" s="25">
        <f t="shared" si="24"/>
        <v>0.043864668784870234</v>
      </c>
    </row>
    <row r="241" spans="1:10" ht="11.25">
      <c r="A241" s="27" t="s">
        <v>50</v>
      </c>
      <c r="B241" s="36"/>
      <c r="C241" s="36"/>
      <c r="D241" s="36"/>
      <c r="E241" s="36"/>
      <c r="F241" s="36"/>
      <c r="G241" s="36"/>
      <c r="H241" s="37">
        <f>SUM(H237:H240)</f>
        <v>4968885990</v>
      </c>
      <c r="I241" s="37">
        <f>SUM(I237:I240)</f>
        <v>5494773990</v>
      </c>
      <c r="J241" s="30">
        <f t="shared" si="24"/>
        <v>0.10583619770273699</v>
      </c>
    </row>
    <row r="242" spans="1:10" ht="11.25">
      <c r="A242" s="31" t="s">
        <v>77</v>
      </c>
      <c r="H242" s="68">
        <v>-33790</v>
      </c>
      <c r="I242" s="68">
        <v>-34410</v>
      </c>
      <c r="J242" s="25">
        <f t="shared" si="24"/>
        <v>0.01834862385321101</v>
      </c>
    </row>
    <row r="243" spans="1:10" ht="11.25">
      <c r="A243" s="31" t="s">
        <v>78</v>
      </c>
      <c r="H243" s="67">
        <v>-128190189</v>
      </c>
      <c r="I243" s="67">
        <f>-347321-28370628-37970478-72313632</f>
        <v>-139002059</v>
      </c>
      <c r="J243" s="25">
        <f t="shared" si="24"/>
        <v>0.08434241406727312</v>
      </c>
    </row>
    <row r="244" spans="1:10" ht="11.25">
      <c r="A244" s="31" t="s">
        <v>51</v>
      </c>
      <c r="H244" s="67">
        <v>-263348945</v>
      </c>
      <c r="I244" s="67">
        <f>-26759570-130203839</f>
        <v>-156963409</v>
      </c>
      <c r="J244" s="25">
        <f t="shared" si="24"/>
        <v>-0.4039717569402072</v>
      </c>
    </row>
    <row r="245" spans="1:12" ht="11.25">
      <c r="A245" s="31" t="s">
        <v>52</v>
      </c>
      <c r="H245" s="67">
        <v>-124145180</v>
      </c>
      <c r="I245" s="67">
        <f>-128354030-121540-630330</f>
        <v>-129105900</v>
      </c>
      <c r="J245" s="25">
        <f t="shared" si="24"/>
        <v>0.039959022170655355</v>
      </c>
      <c r="L245" s="24"/>
    </row>
    <row r="246" spans="1:12" ht="11.25">
      <c r="A246" s="31" t="s">
        <v>53</v>
      </c>
      <c r="H246" s="67">
        <v>0</v>
      </c>
      <c r="I246" s="67">
        <v>0</v>
      </c>
      <c r="J246" s="25"/>
      <c r="L246" s="24"/>
    </row>
    <row r="247" spans="1:12" ht="11.25">
      <c r="A247" s="31" t="s">
        <v>54</v>
      </c>
      <c r="H247" s="67">
        <v>0</v>
      </c>
      <c r="I247" s="67">
        <v>0</v>
      </c>
      <c r="J247" s="25"/>
      <c r="L247" s="24"/>
    </row>
    <row r="248" spans="1:12" ht="11.25">
      <c r="A248" s="31" t="s">
        <v>55</v>
      </c>
      <c r="H248" s="67">
        <v>0</v>
      </c>
      <c r="I248" s="67">
        <v>0</v>
      </c>
      <c r="J248" s="25"/>
      <c r="L248" s="24"/>
    </row>
    <row r="249" spans="1:12" ht="11.25">
      <c r="A249" s="31" t="s">
        <v>56</v>
      </c>
      <c r="H249" s="67">
        <v>-4858100</v>
      </c>
      <c r="I249" s="67">
        <v>-5302090</v>
      </c>
      <c r="J249" s="25">
        <f>(I249-H249)/H249</f>
        <v>0.0913916963421914</v>
      </c>
      <c r="L249" s="24"/>
    </row>
    <row r="250" spans="1:12" ht="11.25">
      <c r="A250" s="31" t="s">
        <v>57</v>
      </c>
      <c r="H250" s="67">
        <v>-246307000</v>
      </c>
      <c r="I250" s="67">
        <v>-266869684</v>
      </c>
      <c r="J250" s="25">
        <f>(I250-H250)/H250</f>
        <v>0.08348396107296992</v>
      </c>
      <c r="L250" s="24"/>
    </row>
    <row r="251" spans="1:12" ht="11.25">
      <c r="A251" s="31" t="s">
        <v>58</v>
      </c>
      <c r="H251" s="67">
        <v>-32483276</v>
      </c>
      <c r="I251" s="67">
        <v>-32974626</v>
      </c>
      <c r="J251" s="25">
        <f>(I251-H251)/H251</f>
        <v>0.015126245271566821</v>
      </c>
      <c r="L251" s="24"/>
    </row>
    <row r="252" spans="1:12" ht="11.25">
      <c r="A252" s="31" t="s">
        <v>59</v>
      </c>
      <c r="H252" s="38">
        <v>0</v>
      </c>
      <c r="I252" s="38">
        <v>0</v>
      </c>
      <c r="J252" s="25"/>
      <c r="L252" s="24"/>
    </row>
    <row r="253" spans="1:12" ht="11.25">
      <c r="A253" s="27" t="s">
        <v>60</v>
      </c>
      <c r="B253" s="36"/>
      <c r="C253" s="36"/>
      <c r="D253" s="36"/>
      <c r="E253" s="36"/>
      <c r="F253" s="36"/>
      <c r="G253" s="36"/>
      <c r="H253" s="37">
        <f>SUM(H241:H252)</f>
        <v>4169519510</v>
      </c>
      <c r="I253" s="37">
        <f>SUM(I241:I252)</f>
        <v>4764521812</v>
      </c>
      <c r="J253" s="30">
        <f>(I253-H253)/H253</f>
        <v>0.1427028463526724</v>
      </c>
      <c r="L253" s="24"/>
    </row>
    <row r="254" spans="1:12" ht="12.75">
      <c r="A254" s="39" t="s">
        <v>61</v>
      </c>
      <c r="E254" s="24">
        <v>0</v>
      </c>
      <c r="F254" s="24">
        <v>250161215</v>
      </c>
      <c r="H254" s="43" t="s">
        <v>95</v>
      </c>
      <c r="I254" s="44">
        <f>1917234301+873826330</f>
        <v>2791060631</v>
      </c>
      <c r="J254" s="52"/>
      <c r="L254" s="24"/>
    </row>
    <row r="255" spans="1:12" ht="12.75">
      <c r="A255" s="39" t="s">
        <v>19</v>
      </c>
      <c r="B255" s="40"/>
      <c r="C255" s="40"/>
      <c r="D255" s="40"/>
      <c r="E255" s="41">
        <v>0</v>
      </c>
      <c r="F255" s="46">
        <v>812867.1</v>
      </c>
      <c r="G255" s="40"/>
      <c r="H255" s="43" t="s">
        <v>96</v>
      </c>
      <c r="I255" s="44">
        <v>1973461181</v>
      </c>
      <c r="J255" s="52"/>
      <c r="K255" s="48"/>
      <c r="L255" s="24"/>
    </row>
    <row r="256" spans="1:12" ht="12.75">
      <c r="A256" s="39" t="str">
        <f>A219</f>
        <v>2005 Adopted/2006 Revenue Neutral Tax Rate</v>
      </c>
      <c r="E256" s="61">
        <v>0.3535</v>
      </c>
      <c r="F256" s="61">
        <v>0.30849</v>
      </c>
      <c r="G256" s="42">
        <f>(F256-E256)/E256</f>
        <v>-0.12732673267326733</v>
      </c>
      <c r="H256" s="53" t="s">
        <v>60</v>
      </c>
      <c r="I256" s="54">
        <f>SUM(I254:I255)</f>
        <v>4764521812</v>
      </c>
      <c r="J256" s="52"/>
      <c r="K256" s="48"/>
      <c r="L256" s="24"/>
    </row>
    <row r="257" spans="1:12" ht="12.75">
      <c r="A257" s="39" t="s">
        <v>62</v>
      </c>
      <c r="H257" s="41">
        <f>(H253*E256)/100</f>
        <v>14739251.467849998</v>
      </c>
      <c r="I257" s="44">
        <f>(I253-F254)*F256/100+F255</f>
        <v>14739218.105685297</v>
      </c>
      <c r="J257" s="42">
        <f>(I257-H257)/H257</f>
        <v>-2.263491112365852E-06</v>
      </c>
      <c r="K257" s="52"/>
      <c r="L257" s="24"/>
    </row>
    <row r="258" spans="1:12" ht="12.75">
      <c r="A258" s="39" t="s">
        <v>18</v>
      </c>
      <c r="H258" s="24">
        <v>42182492</v>
      </c>
      <c r="I258" s="24">
        <v>44361138</v>
      </c>
      <c r="J258" s="42">
        <f>(I258-H258)/H258</f>
        <v>0.051648110310789606</v>
      </c>
      <c r="K258" s="52"/>
      <c r="L258" s="55"/>
    </row>
    <row r="259" spans="1:12" ht="12.75">
      <c r="A259" s="39" t="s">
        <v>17</v>
      </c>
      <c r="H259" s="24">
        <v>170302</v>
      </c>
      <c r="I259" s="24">
        <f>55680+122061+1095</f>
        <v>178836</v>
      </c>
      <c r="J259" s="42">
        <f>(I259-H259)/H259</f>
        <v>0.05011097931909197</v>
      </c>
      <c r="K259" s="52"/>
      <c r="L259" s="55"/>
    </row>
    <row r="260" spans="1:12" ht="11.25">
      <c r="A260" s="20" t="s">
        <v>6</v>
      </c>
      <c r="B260" s="21" t="s">
        <v>32</v>
      </c>
      <c r="C260" s="21"/>
      <c r="D260" s="21"/>
      <c r="E260" s="21" t="s">
        <v>33</v>
      </c>
      <c r="F260" s="21"/>
      <c r="G260" s="21"/>
      <c r="H260" s="21" t="s">
        <v>34</v>
      </c>
      <c r="I260" s="21"/>
      <c r="J260" s="21"/>
      <c r="L260" s="24"/>
    </row>
    <row r="261" spans="1:12" ht="11.25">
      <c r="A261" s="22" t="s">
        <v>35</v>
      </c>
      <c r="B261" s="22" t="str">
        <f>B224</f>
        <v>2005 Certified</v>
      </c>
      <c r="C261" s="22" t="str">
        <f>C224</f>
        <v>2006 Certified</v>
      </c>
      <c r="D261" s="23" t="s">
        <v>67</v>
      </c>
      <c r="E261" s="22" t="str">
        <f>B261</f>
        <v>2005 Certified</v>
      </c>
      <c r="F261" s="22" t="str">
        <f>C261</f>
        <v>2006 Certified</v>
      </c>
      <c r="G261" s="23" t="s">
        <v>67</v>
      </c>
      <c r="H261" s="23" t="str">
        <f>H224</f>
        <v>2005 Total</v>
      </c>
      <c r="I261" s="23" t="str">
        <f>I224</f>
        <v>2006 Total</v>
      </c>
      <c r="J261" s="23" t="s">
        <v>67</v>
      </c>
      <c r="K261" s="23" t="s">
        <v>71</v>
      </c>
      <c r="L261" s="24"/>
    </row>
    <row r="262" ht="11.25">
      <c r="L262" s="24"/>
    </row>
    <row r="263" spans="1:11" ht="11.25">
      <c r="A263" s="22" t="s">
        <v>36</v>
      </c>
      <c r="B263" s="24">
        <v>0</v>
      </c>
      <c r="C263" s="24">
        <v>0</v>
      </c>
      <c r="E263" s="24">
        <v>466188230</v>
      </c>
      <c r="F263" s="24">
        <v>502658480</v>
      </c>
      <c r="G263" s="25">
        <f>(F263-E263)/E263</f>
        <v>0.07823073954484007</v>
      </c>
      <c r="H263" s="24">
        <f aca="true" t="shared" si="26" ref="H263:I273">B263+E263</f>
        <v>466188230</v>
      </c>
      <c r="I263" s="24">
        <f t="shared" si="26"/>
        <v>502658480</v>
      </c>
      <c r="J263" s="25">
        <f aca="true" t="shared" si="27" ref="J263:J282">(I263-H263)/H263</f>
        <v>0.07823073954484007</v>
      </c>
      <c r="K263" s="56">
        <f>I263/I274</f>
        <v>0.5105676736207049</v>
      </c>
    </row>
    <row r="264" spans="1:11" ht="11.25">
      <c r="A264" s="22" t="s">
        <v>37</v>
      </c>
      <c r="B264" s="24">
        <v>0</v>
      </c>
      <c r="C264" s="24">
        <v>0</v>
      </c>
      <c r="E264" s="24">
        <v>20846420</v>
      </c>
      <c r="F264" s="24">
        <v>21517840</v>
      </c>
      <c r="G264" s="25">
        <f>(F264-E264)/E264</f>
        <v>0.03220792826777931</v>
      </c>
      <c r="H264" s="24">
        <f t="shared" si="26"/>
        <v>20846420</v>
      </c>
      <c r="I264" s="24">
        <f t="shared" si="26"/>
        <v>21517840</v>
      </c>
      <c r="J264" s="25">
        <f t="shared" si="27"/>
        <v>0.03220792826777931</v>
      </c>
      <c r="K264" s="56">
        <f>I264/I274</f>
        <v>0.021856417323632037</v>
      </c>
    </row>
    <row r="265" spans="1:11" ht="11.25">
      <c r="A265" s="22" t="s">
        <v>38</v>
      </c>
      <c r="B265" s="24">
        <v>0</v>
      </c>
      <c r="C265" s="24">
        <v>0</v>
      </c>
      <c r="E265" s="24">
        <v>12612410</v>
      </c>
      <c r="F265" s="24">
        <v>12330730</v>
      </c>
      <c r="G265" s="25">
        <f>(F265-E265)/E265</f>
        <v>-0.02233355877266914</v>
      </c>
      <c r="H265" s="24">
        <f t="shared" si="26"/>
        <v>12612410</v>
      </c>
      <c r="I265" s="24">
        <f t="shared" si="26"/>
        <v>12330730</v>
      </c>
      <c r="J265" s="25">
        <f t="shared" si="27"/>
        <v>-0.02233355877266914</v>
      </c>
      <c r="K265" s="56">
        <f>I265/I274</f>
        <v>0.012524750662010187</v>
      </c>
    </row>
    <row r="266" spans="1:11" ht="11.25">
      <c r="A266" s="22" t="s">
        <v>39</v>
      </c>
      <c r="B266" s="24">
        <v>0</v>
      </c>
      <c r="C266" s="24">
        <v>0</v>
      </c>
      <c r="E266" s="24">
        <v>13492840</v>
      </c>
      <c r="F266" s="24">
        <f>8868150+7396880</f>
        <v>16265030</v>
      </c>
      <c r="G266" s="25">
        <f>(F266-E266)/E266</f>
        <v>0.20545637538131334</v>
      </c>
      <c r="H266" s="24">
        <f t="shared" si="26"/>
        <v>13492840</v>
      </c>
      <c r="I266" s="24">
        <f t="shared" si="26"/>
        <v>16265030</v>
      </c>
      <c r="J266" s="25">
        <f t="shared" si="27"/>
        <v>0.20545637538131334</v>
      </c>
      <c r="K266" s="56">
        <f>I266/I274</f>
        <v>0.016520955795813835</v>
      </c>
    </row>
    <row r="267" spans="1:11" ht="11.25">
      <c r="A267" s="22" t="s">
        <v>40</v>
      </c>
      <c r="B267" s="24">
        <v>0</v>
      </c>
      <c r="C267" s="24">
        <v>0</v>
      </c>
      <c r="D267" s="25"/>
      <c r="E267" s="24">
        <v>146092350</v>
      </c>
      <c r="F267" s="24">
        <v>145576730</v>
      </c>
      <c r="G267" s="25">
        <f>(F267-E267)/E267</f>
        <v>-0.0035294113620596835</v>
      </c>
      <c r="H267" s="24">
        <f t="shared" si="26"/>
        <v>146092350</v>
      </c>
      <c r="I267" s="24">
        <f t="shared" si="26"/>
        <v>145576730</v>
      </c>
      <c r="J267" s="25">
        <f t="shared" si="27"/>
        <v>-0.0035294113620596835</v>
      </c>
      <c r="K267" s="56">
        <f>I267/I274</f>
        <v>0.14786734000669693</v>
      </c>
    </row>
    <row r="268" spans="1:11" ht="11.25">
      <c r="A268" s="22" t="s">
        <v>41</v>
      </c>
      <c r="B268" s="24">
        <v>398580</v>
      </c>
      <c r="C268" s="24">
        <v>841070</v>
      </c>
      <c r="D268" s="25">
        <f>(C268-B268)/B268</f>
        <v>1.1101660896181444</v>
      </c>
      <c r="E268" s="24">
        <v>0</v>
      </c>
      <c r="F268" s="24">
        <v>0</v>
      </c>
      <c r="G268" s="25"/>
      <c r="H268" s="24">
        <f t="shared" si="26"/>
        <v>398580</v>
      </c>
      <c r="I268" s="24">
        <f t="shared" si="26"/>
        <v>841070</v>
      </c>
      <c r="J268" s="25">
        <f t="shared" si="27"/>
        <v>1.1101660896181444</v>
      </c>
      <c r="K268" s="56">
        <f>I268/I274</f>
        <v>0.0008543040062751278</v>
      </c>
    </row>
    <row r="269" spans="1:11" ht="11.25">
      <c r="A269" s="22" t="s">
        <v>42</v>
      </c>
      <c r="B269" s="24">
        <v>0</v>
      </c>
      <c r="C269" s="24">
        <v>0</v>
      </c>
      <c r="D269" s="25"/>
      <c r="E269" s="24">
        <v>1299710</v>
      </c>
      <c r="F269" s="24">
        <v>1089230</v>
      </c>
      <c r="G269" s="25">
        <f aca="true" t="shared" si="28" ref="G269:G274">(F269-E269)/E269</f>
        <v>-0.1619438182363758</v>
      </c>
      <c r="H269" s="24">
        <f t="shared" si="26"/>
        <v>1299710</v>
      </c>
      <c r="I269" s="24">
        <f t="shared" si="26"/>
        <v>1089230</v>
      </c>
      <c r="J269" s="25">
        <f t="shared" si="27"/>
        <v>-0.1619438182363758</v>
      </c>
      <c r="K269" s="56">
        <f>I269/I274</f>
        <v>0.0011063687359614033</v>
      </c>
    </row>
    <row r="270" spans="1:11" ht="11.25">
      <c r="A270" s="22" t="s">
        <v>43</v>
      </c>
      <c r="B270" s="24">
        <v>79117690</v>
      </c>
      <c r="C270" s="24">
        <v>104847530</v>
      </c>
      <c r="D270" s="25">
        <f>(C270-B270)/B270</f>
        <v>0.3252096970980826</v>
      </c>
      <c r="E270" s="24">
        <v>86934170</v>
      </c>
      <c r="F270" s="24">
        <f>77627480+12153490</f>
        <v>89780970</v>
      </c>
      <c r="G270" s="25">
        <f t="shared" si="28"/>
        <v>0.03274661735425782</v>
      </c>
      <c r="H270" s="24">
        <f t="shared" si="26"/>
        <v>166051860</v>
      </c>
      <c r="I270" s="24">
        <f t="shared" si="26"/>
        <v>194628500</v>
      </c>
      <c r="J270" s="25">
        <f t="shared" si="27"/>
        <v>0.17209466970138124</v>
      </c>
      <c r="K270" s="56">
        <f>I270/I274</f>
        <v>0.19769092618369308</v>
      </c>
    </row>
    <row r="271" spans="1:11" ht="11.25">
      <c r="A271" s="22" t="s">
        <v>44</v>
      </c>
      <c r="B271" s="24">
        <v>0</v>
      </c>
      <c r="C271" s="24">
        <v>0</v>
      </c>
      <c r="D271" s="25"/>
      <c r="E271" s="24">
        <v>3189110</v>
      </c>
      <c r="F271" s="24">
        <v>2970440</v>
      </c>
      <c r="G271" s="25">
        <f t="shared" si="28"/>
        <v>-0.06856771952049318</v>
      </c>
      <c r="H271" s="24">
        <f t="shared" si="26"/>
        <v>3189110</v>
      </c>
      <c r="I271" s="24">
        <f t="shared" si="26"/>
        <v>2970440</v>
      </c>
      <c r="J271" s="25">
        <f t="shared" si="27"/>
        <v>-0.06856771952049318</v>
      </c>
      <c r="K271" s="56">
        <f>I271/I274</f>
        <v>0.003017179060482351</v>
      </c>
    </row>
    <row r="272" spans="1:11" ht="11.25">
      <c r="A272" s="22" t="s">
        <v>45</v>
      </c>
      <c r="B272" s="24">
        <v>0</v>
      </c>
      <c r="C272" s="24">
        <v>0</v>
      </c>
      <c r="D272" s="25"/>
      <c r="E272" s="24">
        <v>821730</v>
      </c>
      <c r="F272" s="24">
        <v>751020</v>
      </c>
      <c r="G272" s="25">
        <f t="shared" si="28"/>
        <v>-0.08605016246212259</v>
      </c>
      <c r="H272" s="24">
        <f t="shared" si="26"/>
        <v>821730</v>
      </c>
      <c r="I272" s="24">
        <f t="shared" si="26"/>
        <v>751020</v>
      </c>
      <c r="J272" s="25">
        <f t="shared" si="27"/>
        <v>-0.08605016246212259</v>
      </c>
      <c r="K272" s="56">
        <f>I272/I274</f>
        <v>0.0007628370941690306</v>
      </c>
    </row>
    <row r="273" spans="1:11" ht="11.25">
      <c r="A273" s="22" t="s">
        <v>64</v>
      </c>
      <c r="B273" s="24">
        <v>0</v>
      </c>
      <c r="C273" s="24">
        <v>0</v>
      </c>
      <c r="D273" s="25"/>
      <c r="E273" s="24">
        <v>91730300</v>
      </c>
      <c r="F273" s="24">
        <v>85879950</v>
      </c>
      <c r="G273" s="25">
        <f t="shared" si="28"/>
        <v>-0.06377772666174644</v>
      </c>
      <c r="H273" s="24">
        <f t="shared" si="26"/>
        <v>91730300</v>
      </c>
      <c r="I273" s="24">
        <f t="shared" si="26"/>
        <v>85879950</v>
      </c>
      <c r="J273" s="25">
        <f t="shared" si="27"/>
        <v>-0.06377772666174644</v>
      </c>
      <c r="K273" s="64">
        <f>I273/I274</f>
        <v>0.08723124751056115</v>
      </c>
    </row>
    <row r="274" spans="1:11" ht="11.25">
      <c r="A274" s="27" t="s">
        <v>47</v>
      </c>
      <c r="B274" s="28">
        <f>SUM(B263:B273)</f>
        <v>79516270</v>
      </c>
      <c r="C274" s="28">
        <f>SUM(C263:C273)</f>
        <v>105688600</v>
      </c>
      <c r="D274" s="29">
        <f>(C274-B274)/B274</f>
        <v>0.32914433737900434</v>
      </c>
      <c r="E274" s="28">
        <f>SUM(E263:E273)</f>
        <v>843207270</v>
      </c>
      <c r="F274" s="28">
        <f>SUM(F263:F273)</f>
        <v>878820420</v>
      </c>
      <c r="G274" s="29">
        <f t="shared" si="28"/>
        <v>0.04223534505341729</v>
      </c>
      <c r="H274" s="37">
        <f>SUM(H263:H273)</f>
        <v>922723540</v>
      </c>
      <c r="I274" s="37">
        <f>SUM(I263:I273)</f>
        <v>984509020</v>
      </c>
      <c r="J274" s="30">
        <f t="shared" si="27"/>
        <v>0.06695990437179049</v>
      </c>
      <c r="K274" s="25">
        <f>SUM(K263:K273)</f>
        <v>1.0000000000000002</v>
      </c>
    </row>
    <row r="275" spans="1:10" ht="11.25">
      <c r="A275" s="31" t="s">
        <v>73</v>
      </c>
      <c r="H275" s="67">
        <v>-23600</v>
      </c>
      <c r="I275" s="67">
        <f>-25290-660</f>
        <v>-25950</v>
      </c>
      <c r="J275" s="25">
        <f t="shared" si="27"/>
        <v>0.09957627118644068</v>
      </c>
    </row>
    <row r="276" spans="1:10" ht="11.25">
      <c r="A276" s="31" t="s">
        <v>70</v>
      </c>
      <c r="H276" s="67">
        <v>-6150550</v>
      </c>
      <c r="I276" s="67">
        <v>-9101960</v>
      </c>
      <c r="J276" s="25">
        <f t="shared" si="27"/>
        <v>0.4798611506288056</v>
      </c>
    </row>
    <row r="277" spans="1:10" ht="11.25">
      <c r="A277" s="31" t="s">
        <v>49</v>
      </c>
      <c r="H277" s="67">
        <v>-5603560</v>
      </c>
      <c r="I277" s="67">
        <v>-5531610</v>
      </c>
      <c r="J277" s="25">
        <f t="shared" si="27"/>
        <v>-0.01284005168143109</v>
      </c>
    </row>
    <row r="278" spans="1:10" ht="11.25">
      <c r="A278" s="27" t="s">
        <v>50</v>
      </c>
      <c r="B278" s="36"/>
      <c r="C278" s="36"/>
      <c r="D278" s="36"/>
      <c r="E278" s="36"/>
      <c r="F278" s="36"/>
      <c r="G278" s="36"/>
      <c r="H278" s="37">
        <f>SUM(H274:H277)</f>
        <v>910945830</v>
      </c>
      <c r="I278" s="37">
        <f>SUM(I274:I277)</f>
        <v>969849500</v>
      </c>
      <c r="J278" s="30">
        <f t="shared" si="27"/>
        <v>0.06466209961134571</v>
      </c>
    </row>
    <row r="279" spans="1:10" ht="11.25">
      <c r="A279" s="31" t="s">
        <v>77</v>
      </c>
      <c r="H279" s="71">
        <v>-21250</v>
      </c>
      <c r="I279" s="68">
        <v>-21680</v>
      </c>
      <c r="J279" s="25">
        <f t="shared" si="27"/>
        <v>0.02023529411764706</v>
      </c>
    </row>
    <row r="280" spans="1:10" ht="11.25">
      <c r="A280" s="31" t="s">
        <v>78</v>
      </c>
      <c r="H280" s="72">
        <v>-3248844</v>
      </c>
      <c r="I280" s="67">
        <f>-68825-359122-5392331</f>
        <v>-5820278</v>
      </c>
      <c r="J280" s="25">
        <f t="shared" si="27"/>
        <v>0.7914919891506025</v>
      </c>
    </row>
    <row r="281" spans="1:10" ht="11.25">
      <c r="A281" s="31" t="s">
        <v>51</v>
      </c>
      <c r="H281" s="67">
        <v>-857282</v>
      </c>
      <c r="I281" s="67">
        <f>-725908-12</f>
        <v>-725920</v>
      </c>
      <c r="J281" s="25">
        <f t="shared" si="27"/>
        <v>-0.15323079220139932</v>
      </c>
    </row>
    <row r="282" spans="1:10" ht="11.25">
      <c r="A282" s="31" t="s">
        <v>52</v>
      </c>
      <c r="H282" s="67">
        <v>-91830620</v>
      </c>
      <c r="I282" s="67">
        <f>-86692070-6490-10450</f>
        <v>-86709010</v>
      </c>
      <c r="J282" s="25">
        <f t="shared" si="27"/>
        <v>-0.05577235566960127</v>
      </c>
    </row>
    <row r="283" spans="1:10" ht="11.25">
      <c r="A283" s="31" t="s">
        <v>53</v>
      </c>
      <c r="H283" s="67">
        <v>0</v>
      </c>
      <c r="I283" s="67">
        <v>0</v>
      </c>
      <c r="J283" s="25"/>
    </row>
    <row r="284" spans="1:10" ht="11.25">
      <c r="A284" s="31" t="s">
        <v>54</v>
      </c>
      <c r="H284" s="67">
        <v>0</v>
      </c>
      <c r="I284" s="67">
        <v>0</v>
      </c>
      <c r="J284" s="25"/>
    </row>
    <row r="285" spans="1:10" ht="11.25">
      <c r="A285" s="31" t="s">
        <v>55</v>
      </c>
      <c r="H285" s="67">
        <v>0</v>
      </c>
      <c r="I285" s="67">
        <v>0</v>
      </c>
      <c r="J285" s="25"/>
    </row>
    <row r="286" spans="1:10" ht="11.25">
      <c r="A286" s="31" t="s">
        <v>56</v>
      </c>
      <c r="H286" s="67">
        <v>-1702290</v>
      </c>
      <c r="I286" s="67">
        <v>-1855938</v>
      </c>
      <c r="J286" s="25">
        <f>(I286-H286)/H286</f>
        <v>0.0902595914914615</v>
      </c>
    </row>
    <row r="287" spans="1:10" ht="11.25">
      <c r="A287" s="31" t="s">
        <v>57</v>
      </c>
      <c r="H287" s="67">
        <v>-73642312</v>
      </c>
      <c r="I287" s="67">
        <v>-78543476</v>
      </c>
      <c r="J287" s="25">
        <f>(I287-H287)/H287</f>
        <v>0.06655364106439243</v>
      </c>
    </row>
    <row r="288" spans="1:10" ht="11.25">
      <c r="A288" s="31" t="s">
        <v>58</v>
      </c>
      <c r="H288" s="67">
        <v>-21619490</v>
      </c>
      <c r="I288" s="67">
        <v>-21348900</v>
      </c>
      <c r="J288" s="25">
        <f>(I288-H288)/H288</f>
        <v>-0.012516021423262066</v>
      </c>
    </row>
    <row r="289" spans="1:10" ht="11.25">
      <c r="A289" s="31" t="s">
        <v>59</v>
      </c>
      <c r="H289" s="67">
        <v>-2122960</v>
      </c>
      <c r="I289" s="67">
        <v>-2320840</v>
      </c>
      <c r="J289" s="25">
        <f>(I289-H289)/H289</f>
        <v>0.09320948110185778</v>
      </c>
    </row>
    <row r="290" spans="1:10" ht="11.25">
      <c r="A290" s="27" t="s">
        <v>60</v>
      </c>
      <c r="B290" s="36"/>
      <c r="C290" s="36"/>
      <c r="D290" s="36"/>
      <c r="E290" s="36"/>
      <c r="F290" s="36"/>
      <c r="G290" s="36"/>
      <c r="H290" s="37">
        <f>SUM(H278:H289)</f>
        <v>715900782</v>
      </c>
      <c r="I290" s="37">
        <f>SUM(I278:I289)</f>
        <v>772503458</v>
      </c>
      <c r="J290" s="30">
        <f>(I290-H290)/H290</f>
        <v>0.079064973000686</v>
      </c>
    </row>
    <row r="291" spans="1:12" ht="12.75">
      <c r="A291" s="39" t="str">
        <f>A256</f>
        <v>2005 Adopted/2006 Revenue Neutral Tax Rate</v>
      </c>
      <c r="E291" s="61">
        <v>0.49455</v>
      </c>
      <c r="F291" s="61">
        <v>0.45831</v>
      </c>
      <c r="G291" s="42">
        <f>(F291-E291)/E291</f>
        <v>-0.0732787382468911</v>
      </c>
      <c r="H291" s="43" t="s">
        <v>95</v>
      </c>
      <c r="I291" s="44">
        <f>99088915+805330</f>
        <v>99894245</v>
      </c>
      <c r="K291" s="52"/>
      <c r="L291" s="52"/>
    </row>
    <row r="292" spans="1:12" ht="12.75">
      <c r="A292" s="52"/>
      <c r="B292" s="40"/>
      <c r="C292" s="40"/>
      <c r="D292" s="40"/>
      <c r="E292" s="40"/>
      <c r="F292" s="40"/>
      <c r="G292" s="40"/>
      <c r="H292" s="43" t="s">
        <v>96</v>
      </c>
      <c r="I292" s="44">
        <v>672609213</v>
      </c>
      <c r="J292" s="52"/>
      <c r="K292" s="48"/>
      <c r="L292" s="52"/>
    </row>
    <row r="293" spans="1:10" ht="12.75">
      <c r="A293" s="52"/>
      <c r="F293" s="48"/>
      <c r="G293" s="42"/>
      <c r="H293" s="52"/>
      <c r="I293" s="54">
        <f>SUM(I291:I292)</f>
        <v>772503458</v>
      </c>
      <c r="J293" s="52"/>
    </row>
    <row r="294" spans="1:10" ht="11.25">
      <c r="A294" s="39" t="s">
        <v>62</v>
      </c>
      <c r="H294" s="44">
        <f>(H290*E291)/100</f>
        <v>3540487.317381</v>
      </c>
      <c r="I294" s="44">
        <f>(I290*F291)/100</f>
        <v>3540460.5983598</v>
      </c>
      <c r="J294" s="42">
        <f>(I294-H294)/H294</f>
        <v>-7.546707219944861E-06</v>
      </c>
    </row>
    <row r="295" spans="1:10" ht="11.25">
      <c r="A295" s="39" t="s">
        <v>18</v>
      </c>
      <c r="H295" s="24">
        <v>9755452</v>
      </c>
      <c r="I295" s="24">
        <v>6632214</v>
      </c>
      <c r="J295" s="42">
        <f>(I295-H295)/H295</f>
        <v>-0.32015307952927247</v>
      </c>
    </row>
    <row r="296" spans="1:10" ht="11.25">
      <c r="A296" s="39" t="s">
        <v>17</v>
      </c>
      <c r="H296" s="24">
        <v>16410</v>
      </c>
      <c r="I296" s="24">
        <f>15438+803+129</f>
        <v>16370</v>
      </c>
      <c r="J296" s="42">
        <f>(I296-H296)/H296</f>
        <v>-0.002437538086532602</v>
      </c>
    </row>
    <row r="297" spans="1:10" ht="11.25">
      <c r="A297" s="20" t="s">
        <v>65</v>
      </c>
      <c r="B297" s="21" t="s">
        <v>32</v>
      </c>
      <c r="C297" s="21"/>
      <c r="D297" s="21"/>
      <c r="E297" s="21" t="s">
        <v>33</v>
      </c>
      <c r="F297" s="21"/>
      <c r="G297" s="21"/>
      <c r="H297" s="21" t="s">
        <v>34</v>
      </c>
      <c r="I297" s="21"/>
      <c r="J297" s="21"/>
    </row>
    <row r="298" spans="1:11" ht="11.25">
      <c r="A298" s="22" t="s">
        <v>35</v>
      </c>
      <c r="B298" s="22" t="str">
        <f>B261</f>
        <v>2005 Certified</v>
      </c>
      <c r="C298" s="22" t="str">
        <f>C261</f>
        <v>2006 Certified</v>
      </c>
      <c r="D298" s="23" t="s">
        <v>67</v>
      </c>
      <c r="E298" s="22" t="str">
        <f>B298</f>
        <v>2005 Certified</v>
      </c>
      <c r="F298" s="22" t="str">
        <f>C298</f>
        <v>2006 Certified</v>
      </c>
      <c r="G298" s="23" t="s">
        <v>67</v>
      </c>
      <c r="H298" s="23" t="str">
        <f>H261</f>
        <v>2005 Total</v>
      </c>
      <c r="I298" s="23" t="str">
        <f>I261</f>
        <v>2006 Total</v>
      </c>
      <c r="J298" s="23" t="s">
        <v>67</v>
      </c>
      <c r="K298" s="23" t="s">
        <v>71</v>
      </c>
    </row>
    <row r="300" spans="1:11" ht="11.25">
      <c r="A300" s="22" t="s">
        <v>36</v>
      </c>
      <c r="B300" s="24">
        <v>0</v>
      </c>
      <c r="C300" s="24">
        <v>0</v>
      </c>
      <c r="E300" s="24">
        <v>80648720</v>
      </c>
      <c r="F300" s="24">
        <v>88285160</v>
      </c>
      <c r="G300" s="25">
        <f>(F300-E300)/E300</f>
        <v>0.09468767762216189</v>
      </c>
      <c r="H300" s="24">
        <f aca="true" t="shared" si="29" ref="H300:I310">B300+E300</f>
        <v>80648720</v>
      </c>
      <c r="I300" s="24">
        <f t="shared" si="29"/>
        <v>88285160</v>
      </c>
      <c r="J300" s="25">
        <f>(I300-H300)/H300</f>
        <v>0.09468767762216189</v>
      </c>
      <c r="K300" s="56">
        <f>I300/I311</f>
        <v>0.7547365757410998</v>
      </c>
    </row>
    <row r="301" spans="1:11" ht="11.25">
      <c r="A301" s="22" t="s">
        <v>37</v>
      </c>
      <c r="B301" s="24">
        <v>0</v>
      </c>
      <c r="C301" s="24">
        <v>0</v>
      </c>
      <c r="E301" s="24">
        <v>3980610</v>
      </c>
      <c r="F301" s="24">
        <v>4947800</v>
      </c>
      <c r="G301" s="25">
        <f>(F301-E301)/E301</f>
        <v>0.24297532287764942</v>
      </c>
      <c r="H301" s="24">
        <f t="shared" si="29"/>
        <v>3980610</v>
      </c>
      <c r="I301" s="24">
        <f t="shared" si="29"/>
        <v>4947800</v>
      </c>
      <c r="J301" s="25">
        <f>(I301-H301)/H301</f>
        <v>0.24297532287764942</v>
      </c>
      <c r="K301" s="56">
        <f>I301/I311</f>
        <v>0.042297999227183976</v>
      </c>
    </row>
    <row r="302" spans="1:11" ht="11.25">
      <c r="A302" s="22" t="s">
        <v>38</v>
      </c>
      <c r="B302" s="24">
        <v>0</v>
      </c>
      <c r="C302" s="24">
        <v>0</v>
      </c>
      <c r="E302" s="24">
        <v>807640</v>
      </c>
      <c r="F302" s="24">
        <v>1232460</v>
      </c>
      <c r="G302" s="25">
        <f>(F302-E302)/E302</f>
        <v>0.5260016839185776</v>
      </c>
      <c r="H302" s="24">
        <f t="shared" si="29"/>
        <v>807640</v>
      </c>
      <c r="I302" s="24">
        <f t="shared" si="29"/>
        <v>1232460</v>
      </c>
      <c r="J302" s="25">
        <f>(I302-H302)/H302</f>
        <v>0.5260016839185776</v>
      </c>
      <c r="K302" s="56">
        <f>I302/I311</f>
        <v>0.010536115471024529</v>
      </c>
    </row>
    <row r="303" spans="1:11" ht="11.25">
      <c r="A303" s="22" t="s">
        <v>39</v>
      </c>
      <c r="B303" s="24">
        <v>0</v>
      </c>
      <c r="C303" s="24">
        <v>0</v>
      </c>
      <c r="E303" s="24">
        <v>1857180</v>
      </c>
      <c r="F303" s="24">
        <f>577930+1739280</f>
        <v>2317210</v>
      </c>
      <c r="G303" s="25">
        <f>(F303-E303)/E303</f>
        <v>0.24770350746831218</v>
      </c>
      <c r="H303" s="24">
        <f t="shared" si="29"/>
        <v>1857180</v>
      </c>
      <c r="I303" s="24">
        <f t="shared" si="29"/>
        <v>2317210</v>
      </c>
      <c r="J303" s="25">
        <f>(I303-H303)/H303</f>
        <v>0.24770350746831218</v>
      </c>
      <c r="K303" s="56">
        <f>I303/I311</f>
        <v>0.019809480332516064</v>
      </c>
    </row>
    <row r="304" spans="1:11" ht="11.25">
      <c r="A304" s="22" t="s">
        <v>40</v>
      </c>
      <c r="B304" s="24">
        <v>0</v>
      </c>
      <c r="C304" s="24">
        <v>0</v>
      </c>
      <c r="E304" s="24">
        <v>5555220</v>
      </c>
      <c r="F304" s="24">
        <v>7844450</v>
      </c>
      <c r="G304" s="25">
        <f>(F304-E304)/E304</f>
        <v>0.4120862900119167</v>
      </c>
      <c r="H304" s="24">
        <f t="shared" si="29"/>
        <v>5555220</v>
      </c>
      <c r="I304" s="24">
        <f t="shared" si="29"/>
        <v>7844450</v>
      </c>
      <c r="J304" s="25">
        <f>(I304-H304)/H304</f>
        <v>0.4120862900119167</v>
      </c>
      <c r="K304" s="56">
        <f>I304/I311</f>
        <v>0.06706102510968175</v>
      </c>
    </row>
    <row r="305" spans="1:11" ht="11.25">
      <c r="A305" s="22" t="s">
        <v>41</v>
      </c>
      <c r="B305" s="24">
        <v>0</v>
      </c>
      <c r="C305" s="24">
        <v>0</v>
      </c>
      <c r="D305" s="25"/>
      <c r="E305" s="24">
        <v>0</v>
      </c>
      <c r="F305" s="24">
        <v>0</v>
      </c>
      <c r="G305" s="25">
        <v>0</v>
      </c>
      <c r="H305" s="24">
        <f t="shared" si="29"/>
        <v>0</v>
      </c>
      <c r="I305" s="24">
        <f t="shared" si="29"/>
        <v>0</v>
      </c>
      <c r="J305" s="25">
        <v>0</v>
      </c>
      <c r="K305" s="56">
        <f>I305/I311</f>
        <v>0</v>
      </c>
    </row>
    <row r="306" spans="1:11" ht="11.25">
      <c r="A306" s="22" t="s">
        <v>42</v>
      </c>
      <c r="B306" s="24">
        <v>0</v>
      </c>
      <c r="C306" s="24">
        <v>0</v>
      </c>
      <c r="D306" s="25"/>
      <c r="E306" s="24">
        <v>88010</v>
      </c>
      <c r="F306" s="24">
        <v>77040</v>
      </c>
      <c r="G306" s="25">
        <f>(F306-E306)/E306</f>
        <v>-0.12464492671287354</v>
      </c>
      <c r="H306" s="24">
        <f t="shared" si="29"/>
        <v>88010</v>
      </c>
      <c r="I306" s="24">
        <f t="shared" si="29"/>
        <v>77040</v>
      </c>
      <c r="J306" s="25">
        <f>(I306-H306)/H306</f>
        <v>-0.12464492671287354</v>
      </c>
      <c r="K306" s="56">
        <f>I306/I311</f>
        <v>0.0006586033914997077</v>
      </c>
    </row>
    <row r="307" spans="1:11" ht="11.25">
      <c r="A307" s="22" t="s">
        <v>43</v>
      </c>
      <c r="B307" s="24">
        <v>3503990</v>
      </c>
      <c r="C307" s="24">
        <v>3616850</v>
      </c>
      <c r="D307" s="25">
        <f>(C307-B307)/B307</f>
        <v>0.032208996030239814</v>
      </c>
      <c r="E307" s="24">
        <v>2103350</v>
      </c>
      <c r="F307" s="24">
        <f>4319290+154280</f>
        <v>4473570</v>
      </c>
      <c r="G307" s="25">
        <f>(F307-E307)/E307</f>
        <v>1.126878550883115</v>
      </c>
      <c r="H307" s="24">
        <f t="shared" si="29"/>
        <v>5607340</v>
      </c>
      <c r="I307" s="24">
        <f t="shared" si="29"/>
        <v>8090420</v>
      </c>
      <c r="J307" s="25">
        <f>(I307-H307)/H307</f>
        <v>0.44282672354449704</v>
      </c>
      <c r="K307" s="56">
        <f>I307/I311</f>
        <v>0.06916378570427134</v>
      </c>
    </row>
    <row r="308" spans="1:11" ht="11.25">
      <c r="A308" s="22" t="s">
        <v>44</v>
      </c>
      <c r="B308" s="24">
        <v>0</v>
      </c>
      <c r="C308" s="24">
        <v>0</v>
      </c>
      <c r="D308" s="25"/>
      <c r="E308" s="24">
        <v>1318920</v>
      </c>
      <c r="F308" s="24">
        <v>1001100</v>
      </c>
      <c r="G308" s="25">
        <f>(F308-E308)/E308</f>
        <v>-0.24096988445091438</v>
      </c>
      <c r="H308" s="24">
        <f t="shared" si="29"/>
        <v>1318920</v>
      </c>
      <c r="I308" s="24">
        <f t="shared" si="29"/>
        <v>1001100</v>
      </c>
      <c r="J308" s="25">
        <f>(I308-H308)/H308</f>
        <v>-0.24096988445091438</v>
      </c>
      <c r="K308" s="56">
        <f>I308/I311</f>
        <v>0.008558253572564347</v>
      </c>
    </row>
    <row r="309" spans="1:11" ht="11.25">
      <c r="A309" s="22" t="s">
        <v>45</v>
      </c>
      <c r="B309" s="24">
        <v>0</v>
      </c>
      <c r="C309" s="24">
        <v>0</v>
      </c>
      <c r="D309" s="25"/>
      <c r="E309" s="24">
        <v>694480</v>
      </c>
      <c r="F309" s="24">
        <v>1220900</v>
      </c>
      <c r="G309" s="25">
        <v>0</v>
      </c>
      <c r="H309" s="24">
        <f t="shared" si="29"/>
        <v>694480</v>
      </c>
      <c r="I309" s="24">
        <f t="shared" si="29"/>
        <v>1220900</v>
      </c>
      <c r="J309" s="25">
        <v>0</v>
      </c>
      <c r="K309" s="56">
        <f>I309/I311</f>
        <v>0.01043729076690022</v>
      </c>
    </row>
    <row r="310" spans="1:11" ht="11.25">
      <c r="A310" s="22" t="s">
        <v>46</v>
      </c>
      <c r="B310" s="24">
        <v>0</v>
      </c>
      <c r="C310" s="24">
        <v>0</v>
      </c>
      <c r="D310" s="25"/>
      <c r="E310" s="24">
        <v>2087730</v>
      </c>
      <c r="F310" s="24">
        <v>1958260</v>
      </c>
      <c r="G310" s="25">
        <f>(F310-E310)/E310</f>
        <v>-0.06201472412620406</v>
      </c>
      <c r="H310" s="24">
        <f t="shared" si="29"/>
        <v>2087730</v>
      </c>
      <c r="I310" s="24">
        <f t="shared" si="29"/>
        <v>1958260</v>
      </c>
      <c r="J310" s="25">
        <f>(I310-H310)/H310</f>
        <v>-0.06201472412620406</v>
      </c>
      <c r="K310" s="64">
        <f>I310/I311</f>
        <v>0.016740870683258274</v>
      </c>
    </row>
    <row r="311" spans="1:11" ht="11.25">
      <c r="A311" s="27" t="s">
        <v>47</v>
      </c>
      <c r="B311" s="28">
        <f>SUM(B300:B310)</f>
        <v>3503990</v>
      </c>
      <c r="C311" s="28">
        <f>SUM(C300:C310)</f>
        <v>3616850</v>
      </c>
      <c r="D311" s="29">
        <f>(C311-B311)/B311</f>
        <v>0.032208996030239814</v>
      </c>
      <c r="E311" s="28">
        <f>SUM(E300:E310)</f>
        <v>99141860</v>
      </c>
      <c r="F311" s="28">
        <f>SUM(F300:F310)</f>
        <v>113357950</v>
      </c>
      <c r="G311" s="29">
        <f>(F311-E311)/E311</f>
        <v>0.14339139895095776</v>
      </c>
      <c r="H311" s="37">
        <f>SUM(H300:H310)</f>
        <v>102645850</v>
      </c>
      <c r="I311" s="37">
        <f>SUM(I300:I310)</f>
        <v>116974800</v>
      </c>
      <c r="J311" s="30">
        <f>(I311-H311)/H311</f>
        <v>0.1395959992537448</v>
      </c>
      <c r="K311" s="25">
        <f>SUM(K300:K310)</f>
        <v>1</v>
      </c>
    </row>
    <row r="312" spans="1:10" ht="11.25">
      <c r="A312" s="31" t="s">
        <v>73</v>
      </c>
      <c r="H312" s="67">
        <v>0</v>
      </c>
      <c r="I312" s="67">
        <v>-10</v>
      </c>
      <c r="J312" s="25"/>
    </row>
    <row r="313" spans="1:10" ht="11.25">
      <c r="A313" s="31" t="s">
        <v>70</v>
      </c>
      <c r="H313" s="67">
        <v>-843810</v>
      </c>
      <c r="I313" s="67">
        <v>-1255050</v>
      </c>
      <c r="J313" s="25">
        <f>(I313-H313)/H313</f>
        <v>0.4873608987805312</v>
      </c>
    </row>
    <row r="314" spans="1:10" ht="11.25">
      <c r="A314" s="31" t="s">
        <v>49</v>
      </c>
      <c r="H314" s="67">
        <v>-453280</v>
      </c>
      <c r="I314" s="67">
        <v>-462080</v>
      </c>
      <c r="J314" s="25">
        <f>(I314-H314)/H314</f>
        <v>0.01941404871161313</v>
      </c>
    </row>
    <row r="315" spans="1:10" ht="11.25">
      <c r="A315" s="27" t="s">
        <v>50</v>
      </c>
      <c r="B315" s="36"/>
      <c r="C315" s="36"/>
      <c r="D315" s="36"/>
      <c r="E315" s="36"/>
      <c r="F315" s="36"/>
      <c r="G315" s="36"/>
      <c r="H315" s="37">
        <f>SUM(H311:H314)</f>
        <v>101348760</v>
      </c>
      <c r="I315" s="37">
        <f>SUM(I311:I314)</f>
        <v>115257660</v>
      </c>
      <c r="J315" s="30">
        <f>(I315-H315)/H315</f>
        <v>0.13723798890090022</v>
      </c>
    </row>
    <row r="316" spans="1:10" ht="11.25">
      <c r="A316" s="31" t="s">
        <v>77</v>
      </c>
      <c r="H316" s="68">
        <v>-2280</v>
      </c>
      <c r="I316" s="68">
        <v>-4050</v>
      </c>
      <c r="J316" s="25">
        <f>(I316-H316)/H316</f>
        <v>0.7763157894736842</v>
      </c>
    </row>
    <row r="317" spans="1:10" ht="11.25">
      <c r="A317" s="31" t="s">
        <v>78</v>
      </c>
      <c r="H317" s="38">
        <v>0</v>
      </c>
      <c r="I317" s="38">
        <v>0</v>
      </c>
      <c r="J317" s="25"/>
    </row>
    <row r="318" spans="1:10" ht="11.25">
      <c r="A318" s="31" t="s">
        <v>51</v>
      </c>
      <c r="H318" s="38">
        <v>0</v>
      </c>
      <c r="I318" s="38">
        <v>0</v>
      </c>
      <c r="J318" s="25"/>
    </row>
    <row r="319" spans="1:10" ht="11.25">
      <c r="A319" s="31" t="s">
        <v>52</v>
      </c>
      <c r="H319" s="67">
        <v>-1965610</v>
      </c>
      <c r="I319" s="67">
        <v>-1958260</v>
      </c>
      <c r="J319" s="25">
        <f>(I319-H319)/H319</f>
        <v>-0.0037392972156226312</v>
      </c>
    </row>
    <row r="320" spans="1:10" ht="11.25">
      <c r="A320" s="31" t="s">
        <v>53</v>
      </c>
      <c r="H320" s="67">
        <v>0</v>
      </c>
      <c r="I320" s="67">
        <v>0</v>
      </c>
      <c r="J320" s="25"/>
    </row>
    <row r="321" spans="1:10" ht="11.25">
      <c r="A321" s="31" t="s">
        <v>54</v>
      </c>
      <c r="H321" s="67">
        <v>0</v>
      </c>
      <c r="I321" s="67">
        <v>0</v>
      </c>
      <c r="J321" s="25"/>
    </row>
    <row r="322" spans="1:10" ht="11.25">
      <c r="A322" s="31" t="s">
        <v>55</v>
      </c>
      <c r="H322" s="67">
        <v>0</v>
      </c>
      <c r="I322" s="67">
        <v>0</v>
      </c>
      <c r="J322" s="25"/>
    </row>
    <row r="323" spans="1:10" ht="11.25">
      <c r="A323" s="31" t="s">
        <v>56</v>
      </c>
      <c r="H323" s="67">
        <v>-166000</v>
      </c>
      <c r="I323" s="67">
        <v>-188500</v>
      </c>
      <c r="J323" s="25">
        <f>(I323-H323)/H323</f>
        <v>0.1355421686746988</v>
      </c>
    </row>
    <row r="324" spans="1:10" ht="11.25">
      <c r="A324" s="31" t="s">
        <v>57</v>
      </c>
      <c r="H324" s="38">
        <v>0</v>
      </c>
      <c r="I324" s="38">
        <v>0</v>
      </c>
      <c r="J324" s="25"/>
    </row>
    <row r="325" spans="1:10" ht="11.25">
      <c r="A325" s="31" t="s">
        <v>58</v>
      </c>
      <c r="H325" s="38">
        <v>0</v>
      </c>
      <c r="I325" s="38">
        <v>0</v>
      </c>
      <c r="J325" s="25"/>
    </row>
    <row r="326" spans="1:10" ht="11.25">
      <c r="A326" s="31" t="s">
        <v>59</v>
      </c>
      <c r="H326" s="38">
        <v>0</v>
      </c>
      <c r="I326" s="38">
        <v>0</v>
      </c>
      <c r="J326" s="25"/>
    </row>
    <row r="327" spans="1:10" ht="11.25">
      <c r="A327" s="27" t="s">
        <v>60</v>
      </c>
      <c r="B327" s="36"/>
      <c r="C327" s="36"/>
      <c r="D327" s="36"/>
      <c r="E327" s="36"/>
      <c r="F327" s="36"/>
      <c r="G327" s="36"/>
      <c r="H327" s="37">
        <f>SUM(H315:H326)</f>
        <v>99214870</v>
      </c>
      <c r="I327" s="37">
        <f>SUM(I315:I326)</f>
        <v>113106850</v>
      </c>
      <c r="J327" s="30">
        <f>(I327-H327)/H327</f>
        <v>0.1400191322127419</v>
      </c>
    </row>
    <row r="328" spans="1:9" ht="11.25">
      <c r="A328" s="39" t="str">
        <f>A291</f>
        <v>2005 Adopted/2006 Revenue Neutral Tax Rate</v>
      </c>
      <c r="E328" s="61">
        <v>0.11907</v>
      </c>
      <c r="F328" s="61">
        <v>0.10445</v>
      </c>
      <c r="G328" s="42">
        <f>(F328-E328)/E328</f>
        <v>-0.12278491643571005</v>
      </c>
      <c r="H328" s="43" t="s">
        <v>95</v>
      </c>
      <c r="I328" s="44">
        <f>3616840</f>
        <v>3616840</v>
      </c>
    </row>
    <row r="329" spans="1:10" ht="12.75">
      <c r="A329" s="52"/>
      <c r="B329" s="40"/>
      <c r="C329" s="40"/>
      <c r="D329" s="40"/>
      <c r="E329" s="40"/>
      <c r="F329" s="40"/>
      <c r="G329" s="40"/>
      <c r="H329" s="43" t="s">
        <v>96</v>
      </c>
      <c r="I329" s="44">
        <v>109490010</v>
      </c>
      <c r="J329" s="52"/>
    </row>
    <row r="330" spans="1:11" ht="12.75">
      <c r="A330" s="52"/>
      <c r="F330" s="48"/>
      <c r="G330" s="42"/>
      <c r="H330" s="52"/>
      <c r="I330" s="54">
        <f>I327</f>
        <v>113106850</v>
      </c>
      <c r="J330" s="52"/>
      <c r="K330" s="48"/>
    </row>
    <row r="331" spans="1:10" ht="11.25">
      <c r="A331" s="39" t="s">
        <v>62</v>
      </c>
      <c r="H331" s="44">
        <f>(H327*E328)/100</f>
        <v>118135.14570899999</v>
      </c>
      <c r="I331" s="44">
        <f>(I327*F328)/100</f>
        <v>118140.104825</v>
      </c>
      <c r="J331" s="42">
        <f>(I331-H331)/H331</f>
        <v>4.197832888976513E-05</v>
      </c>
    </row>
    <row r="332" spans="1:12" ht="12.75">
      <c r="A332" s="39" t="s">
        <v>18</v>
      </c>
      <c r="H332" s="24">
        <v>5382210</v>
      </c>
      <c r="I332" s="24">
        <v>3809590</v>
      </c>
      <c r="J332" s="42">
        <f>(I332-H332)/H332</f>
        <v>-0.29218852478814467</v>
      </c>
      <c r="K332" s="52"/>
      <c r="L332" s="52"/>
    </row>
    <row r="333" spans="1:12" ht="12.75">
      <c r="A333" s="39" t="s">
        <v>17</v>
      </c>
      <c r="H333" s="24">
        <v>1449</v>
      </c>
      <c r="I333" s="24">
        <f>1442+15</f>
        <v>1457</v>
      </c>
      <c r="J333" s="42">
        <f>(I333-H333)/H333</f>
        <v>0.005521048999309869</v>
      </c>
      <c r="K333" s="52"/>
      <c r="L333" s="52"/>
    </row>
    <row r="334" spans="1:10" ht="11.25">
      <c r="A334" s="20" t="s">
        <v>7</v>
      </c>
      <c r="B334" s="21" t="s">
        <v>32</v>
      </c>
      <c r="C334" s="21"/>
      <c r="D334" s="21"/>
      <c r="E334" s="21" t="s">
        <v>33</v>
      </c>
      <c r="F334" s="21"/>
      <c r="G334" s="21"/>
      <c r="H334" s="21" t="s">
        <v>34</v>
      </c>
      <c r="I334" s="21"/>
      <c r="J334" s="21"/>
    </row>
    <row r="335" spans="1:11" ht="11.25">
      <c r="A335" s="22" t="s">
        <v>35</v>
      </c>
      <c r="B335" s="22" t="str">
        <f>B298</f>
        <v>2005 Certified</v>
      </c>
      <c r="C335" s="22" t="str">
        <f>C298</f>
        <v>2006 Certified</v>
      </c>
      <c r="D335" s="23" t="s">
        <v>67</v>
      </c>
      <c r="E335" s="22" t="str">
        <f>B335</f>
        <v>2005 Certified</v>
      </c>
      <c r="F335" s="22" t="str">
        <f>C335</f>
        <v>2006 Certified</v>
      </c>
      <c r="G335" s="23" t="s">
        <v>67</v>
      </c>
      <c r="H335" s="23" t="str">
        <f>H298</f>
        <v>2005 Total</v>
      </c>
      <c r="I335" s="23" t="str">
        <f>I298</f>
        <v>2006 Total</v>
      </c>
      <c r="J335" s="23" t="s">
        <v>67</v>
      </c>
      <c r="K335" s="23" t="s">
        <v>71</v>
      </c>
    </row>
    <row r="337" spans="1:11" ht="11.25">
      <c r="A337" s="22" t="s">
        <v>36</v>
      </c>
      <c r="B337" s="24">
        <v>0</v>
      </c>
      <c r="C337" s="24">
        <v>0</v>
      </c>
      <c r="D337" s="56"/>
      <c r="E337" s="24">
        <v>25055500</v>
      </c>
      <c r="F337" s="24">
        <v>28395380</v>
      </c>
      <c r="G337" s="25">
        <f>(F337-E337)/E337</f>
        <v>0.13329927560814991</v>
      </c>
      <c r="H337" s="24">
        <f aca="true" t="shared" si="30" ref="H337:I347">B337+E337</f>
        <v>25055500</v>
      </c>
      <c r="I337" s="24">
        <f t="shared" si="30"/>
        <v>28395380</v>
      </c>
      <c r="J337" s="25">
        <f aca="true" t="shared" si="31" ref="J337:J345">(I337-H337)/H337</f>
        <v>0.13329927560814991</v>
      </c>
      <c r="K337" s="56">
        <f>I337/I348</f>
        <v>0.2546502988368031</v>
      </c>
    </row>
    <row r="338" spans="1:11" ht="11.25">
      <c r="A338" s="22" t="s">
        <v>37</v>
      </c>
      <c r="B338" s="24">
        <v>0</v>
      </c>
      <c r="C338" s="24">
        <v>0</v>
      </c>
      <c r="D338" s="56"/>
      <c r="E338" s="24">
        <v>1433240</v>
      </c>
      <c r="F338" s="24">
        <v>1433240</v>
      </c>
      <c r="G338" s="25">
        <f>(F338-E338)/E338</f>
        <v>0</v>
      </c>
      <c r="H338" s="24">
        <f t="shared" si="30"/>
        <v>1433240</v>
      </c>
      <c r="I338" s="24">
        <f t="shared" si="30"/>
        <v>1433240</v>
      </c>
      <c r="J338" s="25">
        <f t="shared" si="31"/>
        <v>0</v>
      </c>
      <c r="K338" s="56">
        <f>I338/I348</f>
        <v>0.012853323121749374</v>
      </c>
    </row>
    <row r="339" spans="1:11" ht="11.25">
      <c r="A339" s="22" t="s">
        <v>38</v>
      </c>
      <c r="B339" s="24">
        <v>0</v>
      </c>
      <c r="C339" s="24">
        <v>0</v>
      </c>
      <c r="D339" s="56"/>
      <c r="E339" s="24">
        <v>1174640</v>
      </c>
      <c r="F339" s="24">
        <v>1231550</v>
      </c>
      <c r="G339" s="25">
        <f>(F339-E339)/E339</f>
        <v>0.04844888646734319</v>
      </c>
      <c r="H339" s="24">
        <f t="shared" si="30"/>
        <v>1174640</v>
      </c>
      <c r="I339" s="24">
        <f t="shared" si="30"/>
        <v>1231550</v>
      </c>
      <c r="J339" s="25">
        <f t="shared" si="31"/>
        <v>0.04844888646734319</v>
      </c>
      <c r="K339" s="56">
        <f>I339/I348</f>
        <v>0.011044563430123664</v>
      </c>
    </row>
    <row r="340" spans="1:11" ht="11.25">
      <c r="A340" s="22" t="s">
        <v>39</v>
      </c>
      <c r="B340" s="24">
        <v>0</v>
      </c>
      <c r="C340" s="24">
        <v>0</v>
      </c>
      <c r="D340" s="56"/>
      <c r="E340" s="24">
        <v>1112510</v>
      </c>
      <c r="F340" s="24">
        <f>828080+211380</f>
        <v>1039460</v>
      </c>
      <c r="G340" s="25">
        <f>(F340-E340)/E340</f>
        <v>-0.06566233112511348</v>
      </c>
      <c r="H340" s="24">
        <f t="shared" si="30"/>
        <v>1112510</v>
      </c>
      <c r="I340" s="24">
        <f t="shared" si="30"/>
        <v>1039460</v>
      </c>
      <c r="J340" s="25">
        <f t="shared" si="31"/>
        <v>-0.06566233112511348</v>
      </c>
      <c r="K340" s="56">
        <f>I340/I348</f>
        <v>0.009321896718019036</v>
      </c>
    </row>
    <row r="341" spans="1:11" ht="11.25">
      <c r="A341" s="22" t="s">
        <v>40</v>
      </c>
      <c r="B341" s="24">
        <v>0</v>
      </c>
      <c r="C341" s="24">
        <v>0</v>
      </c>
      <c r="D341" s="56"/>
      <c r="E341" s="24">
        <v>5599160</v>
      </c>
      <c r="F341" s="24">
        <v>5966020</v>
      </c>
      <c r="G341" s="25">
        <f>(F341-E341)/E341</f>
        <v>0.06552054236706935</v>
      </c>
      <c r="H341" s="24">
        <f t="shared" si="30"/>
        <v>5599160</v>
      </c>
      <c r="I341" s="24">
        <f t="shared" si="30"/>
        <v>5966020</v>
      </c>
      <c r="J341" s="25">
        <f t="shared" si="31"/>
        <v>0.06552054236706935</v>
      </c>
      <c r="K341" s="56">
        <f>I341/I348</f>
        <v>0.05350337892524573</v>
      </c>
    </row>
    <row r="342" spans="1:11" ht="11.25">
      <c r="A342" s="22" t="s">
        <v>41</v>
      </c>
      <c r="B342" s="24">
        <v>14515070</v>
      </c>
      <c r="C342" s="24">
        <v>21212370</v>
      </c>
      <c r="D342" s="56">
        <f>(C342-B342)/B342</f>
        <v>0.4614032174836222</v>
      </c>
      <c r="E342" s="24">
        <v>0</v>
      </c>
      <c r="F342" s="24">
        <v>0</v>
      </c>
      <c r="G342" s="25"/>
      <c r="H342" s="24">
        <f t="shared" si="30"/>
        <v>14515070</v>
      </c>
      <c r="I342" s="24">
        <f t="shared" si="30"/>
        <v>21212370</v>
      </c>
      <c r="J342" s="25">
        <f t="shared" si="31"/>
        <v>0.4614032174836222</v>
      </c>
      <c r="K342" s="56">
        <f>I342/I348</f>
        <v>0.19023293083370738</v>
      </c>
    </row>
    <row r="343" spans="1:11" ht="11.25">
      <c r="A343" s="22" t="s">
        <v>42</v>
      </c>
      <c r="B343" s="24">
        <v>0</v>
      </c>
      <c r="C343" s="24">
        <v>0</v>
      </c>
      <c r="D343" s="56"/>
      <c r="E343" s="24">
        <v>196010</v>
      </c>
      <c r="F343" s="24">
        <v>171540</v>
      </c>
      <c r="G343" s="25">
        <f>(F343-E343)/E343</f>
        <v>-0.12484056935870619</v>
      </c>
      <c r="H343" s="24">
        <f t="shared" si="30"/>
        <v>196010</v>
      </c>
      <c r="I343" s="24">
        <f t="shared" si="30"/>
        <v>171540</v>
      </c>
      <c r="J343" s="25">
        <f t="shared" si="31"/>
        <v>-0.12484056935870619</v>
      </c>
      <c r="K343" s="56">
        <f>I343/I348</f>
        <v>0.0015383739278173143</v>
      </c>
    </row>
    <row r="344" spans="1:11" ht="11.25">
      <c r="A344" s="22" t="s">
        <v>43</v>
      </c>
      <c r="B344" s="24">
        <v>38248360</v>
      </c>
      <c r="C344" s="24">
        <v>45361790</v>
      </c>
      <c r="D344" s="56">
        <f>(C344-B344)/B344</f>
        <v>0.18598000018824337</v>
      </c>
      <c r="E344" s="24">
        <v>2233410</v>
      </c>
      <c r="F344" s="24">
        <v>2017560</v>
      </c>
      <c r="G344" s="25">
        <f>(F344-E344)/E344</f>
        <v>-0.09664593603503163</v>
      </c>
      <c r="H344" s="24">
        <f t="shared" si="30"/>
        <v>40481770</v>
      </c>
      <c r="I344" s="24">
        <f t="shared" si="30"/>
        <v>47379350</v>
      </c>
      <c r="J344" s="25">
        <f t="shared" si="31"/>
        <v>0.17038731261009585</v>
      </c>
      <c r="K344" s="56">
        <f>I344/I348</f>
        <v>0.4248988967991796</v>
      </c>
    </row>
    <row r="345" spans="1:11" ht="11.25">
      <c r="A345" s="22" t="s">
        <v>44</v>
      </c>
      <c r="B345" s="24">
        <v>0</v>
      </c>
      <c r="C345" s="24">
        <v>0</v>
      </c>
      <c r="D345" s="56"/>
      <c r="E345" s="24">
        <v>2760330</v>
      </c>
      <c r="F345" s="24">
        <v>2506350</v>
      </c>
      <c r="G345" s="25">
        <f>(F345-E345)/E345</f>
        <v>-0.09201073784656183</v>
      </c>
      <c r="H345" s="24">
        <f t="shared" si="30"/>
        <v>2760330</v>
      </c>
      <c r="I345" s="24">
        <f t="shared" si="30"/>
        <v>2506350</v>
      </c>
      <c r="J345" s="25">
        <f t="shared" si="31"/>
        <v>-0.09201073784656183</v>
      </c>
      <c r="K345" s="56">
        <f>I345/I348</f>
        <v>0.0224769936690272</v>
      </c>
    </row>
    <row r="346" spans="1:11" ht="11.25">
      <c r="A346" s="22" t="s">
        <v>45</v>
      </c>
      <c r="B346" s="24">
        <v>0</v>
      </c>
      <c r="C346" s="24">
        <v>0</v>
      </c>
      <c r="D346" s="56"/>
      <c r="E346" s="24">
        <v>0</v>
      </c>
      <c r="F346" s="24">
        <v>0</v>
      </c>
      <c r="G346" s="25"/>
      <c r="H346" s="24">
        <f t="shared" si="30"/>
        <v>0</v>
      </c>
      <c r="I346" s="24">
        <f t="shared" si="30"/>
        <v>0</v>
      </c>
      <c r="J346" s="25"/>
      <c r="K346" s="56">
        <f>I346/I348</f>
        <v>0</v>
      </c>
    </row>
    <row r="347" spans="1:11" ht="11.25">
      <c r="A347" s="22" t="s">
        <v>46</v>
      </c>
      <c r="B347" s="24">
        <v>0</v>
      </c>
      <c r="C347" s="24">
        <v>0</v>
      </c>
      <c r="D347" s="56"/>
      <c r="E347" s="24">
        <v>1608490</v>
      </c>
      <c r="F347" s="24">
        <v>2172090</v>
      </c>
      <c r="G347" s="25">
        <f>(F347-E347)/E347</f>
        <v>0.35039073914043606</v>
      </c>
      <c r="H347" s="24">
        <f t="shared" si="30"/>
        <v>1608490</v>
      </c>
      <c r="I347" s="24">
        <f t="shared" si="30"/>
        <v>2172090</v>
      </c>
      <c r="J347" s="25">
        <f>(I347-H347)/H347</f>
        <v>0.35039073914043606</v>
      </c>
      <c r="K347" s="64">
        <f>I347/I348</f>
        <v>0.019479343738327562</v>
      </c>
    </row>
    <row r="348" spans="1:11" ht="11.25">
      <c r="A348" s="27" t="s">
        <v>47</v>
      </c>
      <c r="B348" s="28">
        <f>SUM(B337:B347)</f>
        <v>52763430</v>
      </c>
      <c r="C348" s="28">
        <f>SUM(C337:C347)</f>
        <v>66574160</v>
      </c>
      <c r="D348" s="57">
        <f>(C348-B348)/B348</f>
        <v>0.2617481463960929</v>
      </c>
      <c r="E348" s="37">
        <f>SUM(E337:E347)</f>
        <v>41173290</v>
      </c>
      <c r="F348" s="28">
        <f>SUM(F337:F347)</f>
        <v>44933190</v>
      </c>
      <c r="G348" s="29">
        <f>(F348-E348)/E348</f>
        <v>0.09131891087644442</v>
      </c>
      <c r="H348" s="37">
        <f>SUM(H337:H347)</f>
        <v>93936720</v>
      </c>
      <c r="I348" s="37">
        <f>SUM(I337:I347)</f>
        <v>111507350</v>
      </c>
      <c r="J348" s="30">
        <f>(I348-H348)/H348</f>
        <v>0.18704751453957516</v>
      </c>
      <c r="K348" s="25">
        <f>SUM(K337:K347)</f>
        <v>1</v>
      </c>
    </row>
    <row r="349" spans="1:10" ht="11.25">
      <c r="A349" s="31" t="s">
        <v>48</v>
      </c>
      <c r="H349" s="67">
        <v>-89760</v>
      </c>
      <c r="I349" s="67">
        <f>-93700-310</f>
        <v>-94010</v>
      </c>
      <c r="J349" s="25"/>
    </row>
    <row r="350" spans="1:10" ht="11.25">
      <c r="A350" s="31" t="s">
        <v>70</v>
      </c>
      <c r="H350" s="67">
        <v>-316580</v>
      </c>
      <c r="I350" s="67">
        <v>-594150</v>
      </c>
      <c r="J350" s="25">
        <f>(I350-H350)/H350</f>
        <v>0.876776802072146</v>
      </c>
    </row>
    <row r="351" spans="1:10" ht="11.25">
      <c r="A351" s="31" t="s">
        <v>49</v>
      </c>
      <c r="H351" s="67">
        <v>-343500</v>
      </c>
      <c r="I351" s="67">
        <v>-322720</v>
      </c>
      <c r="J351" s="25">
        <f>(I351-H351)/H351</f>
        <v>-0.06049490538573508</v>
      </c>
    </row>
    <row r="352" spans="1:10" ht="11.25">
      <c r="A352" s="27" t="s">
        <v>50</v>
      </c>
      <c r="B352" s="36"/>
      <c r="C352" s="36"/>
      <c r="D352" s="36"/>
      <c r="E352" s="36"/>
      <c r="F352" s="36"/>
      <c r="G352" s="36"/>
      <c r="H352" s="37">
        <f>SUM(H348:H351)</f>
        <v>93186880</v>
      </c>
      <c r="I352" s="37">
        <f>SUM(I348:I351)</f>
        <v>110496470</v>
      </c>
      <c r="J352" s="30">
        <f>(I352-H352)/H352</f>
        <v>0.18575136328204142</v>
      </c>
    </row>
    <row r="353" spans="1:10" ht="11.25">
      <c r="A353" s="31" t="s">
        <v>77</v>
      </c>
      <c r="H353" s="68">
        <v>-680</v>
      </c>
      <c r="I353" s="68">
        <v>-2610</v>
      </c>
      <c r="J353" s="25">
        <f>(I353-H353)/H353</f>
        <v>2.838235294117647</v>
      </c>
    </row>
    <row r="354" spans="1:10" ht="11.25">
      <c r="A354" s="31" t="s">
        <v>78</v>
      </c>
      <c r="H354" s="38">
        <v>0</v>
      </c>
      <c r="I354" s="38">
        <v>0</v>
      </c>
      <c r="J354" s="25"/>
    </row>
    <row r="355" spans="1:10" ht="11.25">
      <c r="A355" s="31" t="s">
        <v>51</v>
      </c>
      <c r="H355" s="68">
        <v>0</v>
      </c>
      <c r="I355" s="68">
        <v>0</v>
      </c>
      <c r="J355" s="25"/>
    </row>
    <row r="356" spans="1:10" ht="11.25">
      <c r="A356" s="31" t="s">
        <v>52</v>
      </c>
      <c r="H356" s="67">
        <v>-1720190</v>
      </c>
      <c r="I356" s="67">
        <f>-2358800-40</f>
        <v>-2358840</v>
      </c>
      <c r="J356" s="25">
        <f>(I356-H356)/H356</f>
        <v>0.37126712746847734</v>
      </c>
    </row>
    <row r="357" spans="1:10" ht="11.25">
      <c r="A357" s="31" t="s">
        <v>53</v>
      </c>
      <c r="H357" s="67">
        <v>0</v>
      </c>
      <c r="I357" s="67">
        <v>0</v>
      </c>
      <c r="J357" s="25"/>
    </row>
    <row r="358" spans="1:10" ht="11.25">
      <c r="A358" s="31" t="s">
        <v>54</v>
      </c>
      <c r="H358" s="67">
        <v>0</v>
      </c>
      <c r="I358" s="67">
        <v>0</v>
      </c>
      <c r="J358" s="25"/>
    </row>
    <row r="359" spans="1:10" ht="11.25">
      <c r="A359" s="31" t="s">
        <v>55</v>
      </c>
      <c r="H359" s="67">
        <v>0</v>
      </c>
      <c r="I359" s="67">
        <v>0</v>
      </c>
      <c r="J359" s="25"/>
    </row>
    <row r="360" spans="1:10" ht="11.25">
      <c r="A360" s="31" t="s">
        <v>56</v>
      </c>
      <c r="F360" s="24"/>
      <c r="H360" s="67">
        <v>-80500</v>
      </c>
      <c r="I360" s="67">
        <v>-131000</v>
      </c>
      <c r="J360" s="25">
        <f>(I360-H360)/H360</f>
        <v>0.6273291925465838</v>
      </c>
    </row>
    <row r="361" spans="1:10" ht="11.25">
      <c r="A361" s="31" t="s">
        <v>57</v>
      </c>
      <c r="H361" s="24">
        <v>0</v>
      </c>
      <c r="I361" s="24">
        <v>0</v>
      </c>
      <c r="J361" s="25"/>
    </row>
    <row r="362" spans="1:10" ht="11.25">
      <c r="A362" s="31" t="s">
        <v>58</v>
      </c>
      <c r="H362" s="67">
        <v>-365430</v>
      </c>
      <c r="I362" s="67">
        <v>-375930</v>
      </c>
      <c r="J362" s="25">
        <f>(I362-H362)/H362</f>
        <v>0.02873327313028487</v>
      </c>
    </row>
    <row r="363" spans="1:10" ht="11.25">
      <c r="A363" s="31" t="s">
        <v>59</v>
      </c>
      <c r="H363" s="38">
        <v>0</v>
      </c>
      <c r="I363" s="38">
        <v>0</v>
      </c>
      <c r="J363" s="25"/>
    </row>
    <row r="364" spans="1:10" ht="11.25">
      <c r="A364" s="27" t="s">
        <v>60</v>
      </c>
      <c r="B364" s="36"/>
      <c r="C364" s="36"/>
      <c r="D364" s="36"/>
      <c r="E364" s="36"/>
      <c r="F364" s="36"/>
      <c r="G364" s="36"/>
      <c r="H364" s="37">
        <f>SUM(H352:H362)</f>
        <v>91020080</v>
      </c>
      <c r="I364" s="37">
        <f>SUM(I352:I362)</f>
        <v>107628090</v>
      </c>
      <c r="J364" s="30">
        <f>(I364-H364)/H364</f>
        <v>0.1824653417136087</v>
      </c>
    </row>
    <row r="365" spans="1:12" ht="12.75">
      <c r="A365" s="39" t="str">
        <f>A328</f>
        <v>2005 Adopted/2006 Revenue Neutral Tax Rate</v>
      </c>
      <c r="E365" s="61">
        <v>0.2772</v>
      </c>
      <c r="F365" s="61">
        <v>0.23443</v>
      </c>
      <c r="G365" s="42">
        <f>(F365-E365)/E365</f>
        <v>-0.1542929292929293</v>
      </c>
      <c r="H365" s="43" t="s">
        <v>95</v>
      </c>
      <c r="I365" s="44">
        <f>45361480+21118630</f>
        <v>66480110</v>
      </c>
      <c r="K365" s="52"/>
      <c r="L365" s="52"/>
    </row>
    <row r="366" spans="1:12" ht="12.75">
      <c r="A366" s="52"/>
      <c r="B366" s="40"/>
      <c r="C366" s="40"/>
      <c r="D366" s="40"/>
      <c r="E366" s="40"/>
      <c r="F366" s="40"/>
      <c r="G366" s="40"/>
      <c r="H366" s="43" t="s">
        <v>96</v>
      </c>
      <c r="I366" s="44">
        <v>41147980</v>
      </c>
      <c r="J366" s="52"/>
      <c r="K366" s="52"/>
      <c r="L366" s="52"/>
    </row>
    <row r="367" spans="1:10" ht="12.75">
      <c r="A367" s="52"/>
      <c r="F367" s="48"/>
      <c r="G367" s="42"/>
      <c r="H367" s="52"/>
      <c r="I367" s="54">
        <f>SUM(I365:I366)</f>
        <v>107628090</v>
      </c>
      <c r="J367" s="52"/>
    </row>
    <row r="368" spans="1:10" ht="11.25">
      <c r="A368" s="39" t="s">
        <v>62</v>
      </c>
      <c r="H368" s="44">
        <f>(H364*E365)/100</f>
        <v>252307.66176</v>
      </c>
      <c r="I368" s="44">
        <f>(I364*F365)/100</f>
        <v>252312.531387</v>
      </c>
      <c r="J368" s="42">
        <f>(I368-H368)/H368</f>
        <v>1.9300353251418095E-05</v>
      </c>
    </row>
    <row r="369" spans="1:10" ht="11.25">
      <c r="A369" s="39" t="s">
        <v>18</v>
      </c>
      <c r="H369" s="24">
        <v>634140</v>
      </c>
      <c r="I369" s="24">
        <v>874510</v>
      </c>
      <c r="J369" s="42">
        <f>(I369-H369)/H369</f>
        <v>0.37904879048790485</v>
      </c>
    </row>
    <row r="370" spans="1:10" ht="11.25">
      <c r="A370" s="39" t="s">
        <v>17</v>
      </c>
      <c r="H370" s="24">
        <v>6683</v>
      </c>
      <c r="I370" s="24">
        <f>1294+5586+63</f>
        <v>6943</v>
      </c>
      <c r="J370" s="42">
        <f>(I370-H370)/H370</f>
        <v>0.03890468352536286</v>
      </c>
    </row>
    <row r="371" spans="1:9" ht="11.25">
      <c r="A371" s="20" t="s">
        <v>0</v>
      </c>
      <c r="H371" s="24"/>
      <c r="I371" s="24"/>
    </row>
    <row r="372" spans="1:10" ht="12">
      <c r="A372" s="58" t="s">
        <v>66</v>
      </c>
      <c r="B372" s="21" t="s">
        <v>32</v>
      </c>
      <c r="C372" s="21"/>
      <c r="D372" s="21"/>
      <c r="E372" s="21" t="s">
        <v>33</v>
      </c>
      <c r="F372" s="21"/>
      <c r="G372" s="21"/>
      <c r="H372" s="21" t="s">
        <v>34</v>
      </c>
      <c r="I372" s="21"/>
      <c r="J372" s="21"/>
    </row>
    <row r="373" spans="1:11" ht="11.25">
      <c r="A373" s="22" t="s">
        <v>35</v>
      </c>
      <c r="B373" s="22" t="str">
        <f>B335</f>
        <v>2005 Certified</v>
      </c>
      <c r="C373" s="22" t="str">
        <f>C335</f>
        <v>2006 Certified</v>
      </c>
      <c r="D373" s="23" t="s">
        <v>67</v>
      </c>
      <c r="E373" s="22" t="str">
        <f>B373</f>
        <v>2005 Certified</v>
      </c>
      <c r="F373" s="22" t="str">
        <f>C373</f>
        <v>2006 Certified</v>
      </c>
      <c r="G373" s="23" t="s">
        <v>67</v>
      </c>
      <c r="H373" s="23" t="str">
        <f>H335</f>
        <v>2005 Total</v>
      </c>
      <c r="I373" s="23" t="str">
        <f>I335</f>
        <v>2006 Total</v>
      </c>
      <c r="J373" s="23" t="s">
        <v>67</v>
      </c>
      <c r="K373" s="23" t="s">
        <v>71</v>
      </c>
    </row>
    <row r="374" ht="5.25" customHeight="1"/>
    <row r="375" spans="1:11" ht="11.25">
      <c r="A375" s="22" t="s">
        <v>36</v>
      </c>
      <c r="B375" s="24">
        <v>0</v>
      </c>
      <c r="C375" s="24">
        <v>0</v>
      </c>
      <c r="E375" s="24">
        <v>69332310</v>
      </c>
      <c r="F375" s="24">
        <f>48293620+28540800</f>
        <v>76834420</v>
      </c>
      <c r="G375" s="25">
        <f>(F375-E375)/E375</f>
        <v>0.10820510668114187</v>
      </c>
      <c r="H375" s="24">
        <f aca="true" t="shared" si="32" ref="H375:I385">B375+E375</f>
        <v>69332310</v>
      </c>
      <c r="I375" s="24">
        <f t="shared" si="32"/>
        <v>76834420</v>
      </c>
      <c r="J375" s="25">
        <f>(I375-H375)/H375</f>
        <v>0.10820510668114187</v>
      </c>
      <c r="K375" s="56">
        <f>I375/I386</f>
        <v>0.14158135451158974</v>
      </c>
    </row>
    <row r="376" spans="1:11" ht="11.25">
      <c r="A376" s="22" t="s">
        <v>37</v>
      </c>
      <c r="B376" s="24">
        <v>0</v>
      </c>
      <c r="C376" s="24">
        <v>0</v>
      </c>
      <c r="E376" s="24">
        <v>0</v>
      </c>
      <c r="F376" s="24">
        <v>0</v>
      </c>
      <c r="G376" s="25"/>
      <c r="H376" s="24">
        <f t="shared" si="32"/>
        <v>0</v>
      </c>
      <c r="I376" s="24">
        <f t="shared" si="32"/>
        <v>0</v>
      </c>
      <c r="J376" s="25"/>
      <c r="K376" s="56">
        <f>I376/I386</f>
        <v>0</v>
      </c>
    </row>
    <row r="377" spans="1:11" ht="11.25">
      <c r="A377" s="22" t="s">
        <v>38</v>
      </c>
      <c r="B377" s="24">
        <v>0</v>
      </c>
      <c r="C377" s="24">
        <v>0</v>
      </c>
      <c r="E377" s="24">
        <v>2706390</v>
      </c>
      <c r="F377" s="24">
        <f>1422930+1128450</f>
        <v>2551380</v>
      </c>
      <c r="G377" s="25">
        <f>(F377-E377)/E377</f>
        <v>-0.05727555895491781</v>
      </c>
      <c r="H377" s="24">
        <f t="shared" si="32"/>
        <v>2706390</v>
      </c>
      <c r="I377" s="24">
        <f t="shared" si="32"/>
        <v>2551380</v>
      </c>
      <c r="J377" s="25">
        <f aca="true" t="shared" si="33" ref="J377:J386">(I377-H377)/H377</f>
        <v>-0.05727555895491781</v>
      </c>
      <c r="K377" s="56">
        <f>I377/I386</f>
        <v>0.00470138040052596</v>
      </c>
    </row>
    <row r="378" spans="1:11" ht="11.25">
      <c r="A378" s="22" t="s">
        <v>39</v>
      </c>
      <c r="B378" s="24">
        <v>0</v>
      </c>
      <c r="C378" s="24">
        <v>0</v>
      </c>
      <c r="E378" s="24">
        <v>89947090</v>
      </c>
      <c r="F378" s="24">
        <f>26472130+17242450+37297390+15670360</f>
        <v>96682330</v>
      </c>
      <c r="G378" s="25">
        <f>(F378-E378)/E378</f>
        <v>0.07488002113242352</v>
      </c>
      <c r="H378" s="24">
        <f t="shared" si="32"/>
        <v>89947090</v>
      </c>
      <c r="I378" s="24">
        <f t="shared" si="32"/>
        <v>96682330</v>
      </c>
      <c r="J378" s="25">
        <f t="shared" si="33"/>
        <v>0.07488002113242352</v>
      </c>
      <c r="K378" s="56">
        <f>I378/I386</f>
        <v>0.17815472855442274</v>
      </c>
    </row>
    <row r="379" spans="1:11" ht="11.25">
      <c r="A379" s="22" t="s">
        <v>40</v>
      </c>
      <c r="B379" s="24">
        <v>0</v>
      </c>
      <c r="C379" s="24">
        <v>0</v>
      </c>
      <c r="E379" s="24">
        <v>1846880</v>
      </c>
      <c r="F379" s="24">
        <f>768550+1257680</f>
        <v>2026230</v>
      </c>
      <c r="G379" s="25">
        <f>(F379-E379)/E379</f>
        <v>0.09710972017673049</v>
      </c>
      <c r="H379" s="24">
        <f t="shared" si="32"/>
        <v>1846880</v>
      </c>
      <c r="I379" s="24">
        <f t="shared" si="32"/>
        <v>2026230</v>
      </c>
      <c r="J379" s="25">
        <f t="shared" si="33"/>
        <v>0.09710972017673049</v>
      </c>
      <c r="K379" s="56">
        <f>I379/I386</f>
        <v>0.0037336962776841225</v>
      </c>
    </row>
    <row r="380" spans="1:11" ht="11.25">
      <c r="A380" s="22" t="s">
        <v>41</v>
      </c>
      <c r="B380" s="24">
        <v>225864660</v>
      </c>
      <c r="C380" s="24">
        <f>99168020+211256390</f>
        <v>310424410</v>
      </c>
      <c r="D380" s="25">
        <f>(C380-B380)/B380</f>
        <v>0.37438238456604944</v>
      </c>
      <c r="E380" s="24">
        <v>0</v>
      </c>
      <c r="F380" s="24">
        <v>0</v>
      </c>
      <c r="G380" s="25"/>
      <c r="H380" s="24">
        <f t="shared" si="32"/>
        <v>225864660</v>
      </c>
      <c r="I380" s="24">
        <f t="shared" si="32"/>
        <v>310424410</v>
      </c>
      <c r="J380" s="25">
        <f t="shared" si="33"/>
        <v>0.37438238456604944</v>
      </c>
      <c r="K380" s="56">
        <f>I380/I386</f>
        <v>0.5720132779197277</v>
      </c>
    </row>
    <row r="381" spans="1:11" ht="11.25">
      <c r="A381" s="22" t="s">
        <v>42</v>
      </c>
      <c r="B381" s="24"/>
      <c r="C381" s="24"/>
      <c r="D381" s="25"/>
      <c r="E381" s="24">
        <v>47760</v>
      </c>
      <c r="F381" s="24">
        <f>12360+34310</f>
        <v>46670</v>
      </c>
      <c r="G381" s="25">
        <f aca="true" t="shared" si="34" ref="G381:G386">(F381-E381)/E381</f>
        <v>-0.022822445561139028</v>
      </c>
      <c r="H381" s="24">
        <f t="shared" si="32"/>
        <v>47760</v>
      </c>
      <c r="I381" s="24">
        <f t="shared" si="32"/>
        <v>46670</v>
      </c>
      <c r="J381" s="25">
        <f t="shared" si="33"/>
        <v>-0.022822445561139028</v>
      </c>
      <c r="K381" s="56">
        <f>I381/I386</f>
        <v>8.599793966110363E-05</v>
      </c>
    </row>
    <row r="382" spans="1:11" ht="11.25">
      <c r="A382" s="22" t="s">
        <v>43</v>
      </c>
      <c r="B382" s="24">
        <v>37826350</v>
      </c>
      <c r="C382" s="24">
        <f>12819730+236516430-211256390</f>
        <v>38079770</v>
      </c>
      <c r="D382" s="25">
        <f>(C382-B382)/B382</f>
        <v>0.00669956260648992</v>
      </c>
      <c r="E382" s="24">
        <v>4254480</v>
      </c>
      <c r="F382" s="24">
        <f>1363290+4214520</f>
        <v>5577810</v>
      </c>
      <c r="G382" s="25">
        <f t="shared" si="34"/>
        <v>0.31104388785468495</v>
      </c>
      <c r="H382" s="24">
        <f t="shared" si="32"/>
        <v>42080830</v>
      </c>
      <c r="I382" s="24">
        <f t="shared" si="32"/>
        <v>43657580</v>
      </c>
      <c r="J382" s="25">
        <f t="shared" si="33"/>
        <v>0.0374695556147538</v>
      </c>
      <c r="K382" s="56">
        <f>I382/I386</f>
        <v>0.08044700944053577</v>
      </c>
    </row>
    <row r="383" spans="1:11" ht="11.25">
      <c r="A383" s="22" t="s">
        <v>44</v>
      </c>
      <c r="B383" s="24">
        <v>0</v>
      </c>
      <c r="C383" s="24">
        <v>0</v>
      </c>
      <c r="D383" s="25"/>
      <c r="E383" s="24">
        <v>9500200</v>
      </c>
      <c r="F383" s="24">
        <f>4976790+3125490</f>
        <v>8102280</v>
      </c>
      <c r="G383" s="25">
        <f t="shared" si="34"/>
        <v>-0.14714637586577126</v>
      </c>
      <c r="H383" s="24">
        <f t="shared" si="32"/>
        <v>9500200</v>
      </c>
      <c r="I383" s="24">
        <f t="shared" si="32"/>
        <v>8102280</v>
      </c>
      <c r="J383" s="25">
        <f t="shared" si="33"/>
        <v>-0.14714637586577126</v>
      </c>
      <c r="K383" s="56">
        <f>I383/I386</f>
        <v>0.01492992043191272</v>
      </c>
    </row>
    <row r="384" spans="1:11" ht="11.25">
      <c r="A384" s="22" t="s">
        <v>45</v>
      </c>
      <c r="B384" s="24">
        <v>0</v>
      </c>
      <c r="C384" s="24">
        <v>0</v>
      </c>
      <c r="D384" s="25"/>
      <c r="E384" s="24">
        <v>72920</v>
      </c>
      <c r="F384" s="24">
        <v>125670</v>
      </c>
      <c r="G384" s="25">
        <f t="shared" si="34"/>
        <v>0.7233955019199122</v>
      </c>
      <c r="H384" s="24">
        <f t="shared" si="32"/>
        <v>72920</v>
      </c>
      <c r="I384" s="24">
        <f t="shared" si="32"/>
        <v>125670</v>
      </c>
      <c r="J384" s="25"/>
      <c r="K384" s="56">
        <f>I384/I386</f>
        <v>0.00023156976809965486</v>
      </c>
    </row>
    <row r="385" spans="1:11" ht="11.25">
      <c r="A385" s="22" t="s">
        <v>46</v>
      </c>
      <c r="B385" s="59">
        <v>20930</v>
      </c>
      <c r="C385" s="24">
        <v>0</v>
      </c>
      <c r="D385" s="25"/>
      <c r="E385" s="59">
        <v>2109970</v>
      </c>
      <c r="F385" s="24">
        <f>1334880+901570</f>
        <v>2236450</v>
      </c>
      <c r="G385" s="25">
        <f t="shared" si="34"/>
        <v>0.05994398024616464</v>
      </c>
      <c r="H385" s="59">
        <f t="shared" si="32"/>
        <v>2130900</v>
      </c>
      <c r="I385" s="24">
        <f t="shared" si="32"/>
        <v>2236450</v>
      </c>
      <c r="J385" s="25">
        <f t="shared" si="33"/>
        <v>0.049533061147871794</v>
      </c>
      <c r="K385" s="64">
        <f>I385/I386</f>
        <v>0.00412106475584048</v>
      </c>
    </row>
    <row r="386" spans="1:11" ht="11.25">
      <c r="A386" s="27" t="s">
        <v>47</v>
      </c>
      <c r="B386" s="59">
        <f>SUM(B380:B385)</f>
        <v>263711940</v>
      </c>
      <c r="C386" s="28">
        <f>SUM(C380:C385)</f>
        <v>348504180</v>
      </c>
      <c r="D386" s="29">
        <f>(C386-B386)/B386</f>
        <v>0.32153356423679563</v>
      </c>
      <c r="E386" s="59">
        <f>SUM(E375:E385)</f>
        <v>179818000</v>
      </c>
      <c r="F386" s="28">
        <f>SUM(F375:F385)</f>
        <v>194183240</v>
      </c>
      <c r="G386" s="29">
        <f t="shared" si="34"/>
        <v>0.07988766419379595</v>
      </c>
      <c r="H386" s="59">
        <f>SUM(H375:H385)</f>
        <v>443529940</v>
      </c>
      <c r="I386" s="28">
        <f>SUM(I375:I385)</f>
        <v>542687420</v>
      </c>
      <c r="J386" s="30">
        <f t="shared" si="33"/>
        <v>0.22356434381859316</v>
      </c>
      <c r="K386" s="25">
        <f>SUM(K375:K385)</f>
        <v>1</v>
      </c>
    </row>
    <row r="387" spans="1:10" ht="11.25">
      <c r="A387" s="31" t="s">
        <v>48</v>
      </c>
      <c r="B387" s="32"/>
      <c r="C387" s="32"/>
      <c r="D387" s="33"/>
      <c r="E387" s="32"/>
      <c r="H387" s="67">
        <v>-330000</v>
      </c>
      <c r="I387" s="76">
        <f>-311160-249970</f>
        <v>-561130</v>
      </c>
      <c r="J387" s="25">
        <f>(I387-H387)/H387</f>
        <v>0.7003939393939393</v>
      </c>
    </row>
    <row r="388" spans="1:10" ht="11.25">
      <c r="A388" s="31" t="s">
        <v>70</v>
      </c>
      <c r="B388" s="32"/>
      <c r="C388" s="32"/>
      <c r="D388" s="33"/>
      <c r="E388" s="32"/>
      <c r="H388" s="67">
        <v>-1129220</v>
      </c>
      <c r="I388" s="67">
        <f>-1169290-1849880</f>
        <v>-3019170</v>
      </c>
      <c r="J388" s="25">
        <f>(I388-H388)/H388</f>
        <v>1.6736774056428332</v>
      </c>
    </row>
    <row r="389" spans="1:10" ht="11.25">
      <c r="A389" s="31" t="s">
        <v>49</v>
      </c>
      <c r="B389" s="32"/>
      <c r="C389" s="32"/>
      <c r="D389" s="33"/>
      <c r="E389" s="32"/>
      <c r="H389" s="70">
        <v>-36954320</v>
      </c>
      <c r="I389" s="67">
        <f>-14039750-26364890</f>
        <v>-40404640</v>
      </c>
      <c r="J389" s="25">
        <f>(I389-H389)/H389</f>
        <v>0.09336716248600975</v>
      </c>
    </row>
    <row r="390" spans="1:10" ht="11.25">
      <c r="A390" s="27" t="s">
        <v>50</v>
      </c>
      <c r="B390" s="34"/>
      <c r="C390" s="34"/>
      <c r="D390" s="35"/>
      <c r="E390" s="34"/>
      <c r="F390" s="36"/>
      <c r="G390" s="36"/>
      <c r="H390" s="59">
        <f>SUM(H386:H389)</f>
        <v>405116400</v>
      </c>
      <c r="I390" s="37">
        <f>SUM(I386:I389)</f>
        <v>498702480</v>
      </c>
      <c r="J390" s="30">
        <f>(I390-H390)/H390</f>
        <v>0.23101034665592407</v>
      </c>
    </row>
    <row r="391" spans="1:10" ht="11.25">
      <c r="A391" s="31" t="s">
        <v>77</v>
      </c>
      <c r="B391" s="32"/>
      <c r="C391" s="32"/>
      <c r="D391" s="33"/>
      <c r="E391" s="32"/>
      <c r="H391" s="68">
        <v>-1700</v>
      </c>
      <c r="I391" s="68">
        <f>-1540-780-210</f>
        <v>-2530</v>
      </c>
      <c r="J391" s="25">
        <f>(I391-H391)/H391</f>
        <v>0.48823529411764705</v>
      </c>
    </row>
    <row r="392" spans="1:10" ht="11.25">
      <c r="A392" s="31" t="s">
        <v>78</v>
      </c>
      <c r="B392" s="32"/>
      <c r="C392" s="32"/>
      <c r="D392" s="33"/>
      <c r="E392" s="32"/>
      <c r="F392" s="24"/>
      <c r="H392" s="68">
        <v>0</v>
      </c>
      <c r="I392" s="38">
        <v>0</v>
      </c>
      <c r="J392" s="25"/>
    </row>
    <row r="393" spans="1:10" ht="11.25">
      <c r="A393" s="31" t="s">
        <v>51</v>
      </c>
      <c r="B393" s="32"/>
      <c r="C393" s="32"/>
      <c r="D393" s="33"/>
      <c r="E393" s="32"/>
      <c r="H393" s="38">
        <v>0</v>
      </c>
      <c r="I393" s="38">
        <v>0</v>
      </c>
      <c r="J393" s="25"/>
    </row>
    <row r="394" spans="1:10" ht="11.25">
      <c r="A394" s="31" t="s">
        <v>52</v>
      </c>
      <c r="B394" s="32"/>
      <c r="C394" s="32"/>
      <c r="D394" s="33"/>
      <c r="E394" s="32"/>
      <c r="H394" s="67">
        <v>-2131260</v>
      </c>
      <c r="I394" s="67">
        <f>-1354810-6490-102800-548590</f>
        <v>-2012690</v>
      </c>
      <c r="J394" s="25">
        <f aca="true" t="shared" si="35" ref="J394:J400">(I394-H394)/H394</f>
        <v>-0.05563375655715398</v>
      </c>
    </row>
    <row r="395" spans="1:10" ht="11.25">
      <c r="A395" s="31" t="s">
        <v>53</v>
      </c>
      <c r="B395" s="32"/>
      <c r="C395" s="32"/>
      <c r="D395" s="33"/>
      <c r="E395" s="32"/>
      <c r="H395" s="67">
        <v>-18713080</v>
      </c>
      <c r="I395" s="67">
        <f>-7304320-2427000-9114410</f>
        <v>-18845730</v>
      </c>
      <c r="J395" s="25">
        <f t="shared" si="35"/>
        <v>0.007088624641160087</v>
      </c>
    </row>
    <row r="396" spans="1:10" ht="11.25">
      <c r="A396" s="31" t="s">
        <v>54</v>
      </c>
      <c r="B396" s="32"/>
      <c r="C396" s="32"/>
      <c r="D396" s="33"/>
      <c r="E396" s="32"/>
      <c r="H396" s="67">
        <v>-2737734</v>
      </c>
      <c r="I396" s="67">
        <f>-57380-1223034-1552100</f>
        <v>-2832514</v>
      </c>
      <c r="J396" s="25">
        <f t="shared" si="35"/>
        <v>0.03461987176255984</v>
      </c>
    </row>
    <row r="397" spans="1:10" ht="11.25">
      <c r="A397" s="31" t="s">
        <v>55</v>
      </c>
      <c r="B397" s="32"/>
      <c r="C397" s="32"/>
      <c r="D397" s="33"/>
      <c r="E397" s="32"/>
      <c r="H397" s="67">
        <v>-498108</v>
      </c>
      <c r="I397" s="67">
        <f>-40000-214496-300420</f>
        <v>-554916</v>
      </c>
      <c r="J397" s="25">
        <f t="shared" si="35"/>
        <v>0.11404755595172131</v>
      </c>
    </row>
    <row r="398" spans="1:10" ht="11.25">
      <c r="A398" s="31" t="s">
        <v>56</v>
      </c>
      <c r="B398" s="32"/>
      <c r="C398" s="32"/>
      <c r="D398" s="33"/>
      <c r="E398" s="32"/>
      <c r="H398" s="67">
        <v>-427744</v>
      </c>
      <c r="I398" s="67">
        <f>-287610-203580</f>
        <v>-491190</v>
      </c>
      <c r="J398" s="25">
        <f t="shared" si="35"/>
        <v>0.14832703673225106</v>
      </c>
    </row>
    <row r="399" spans="1:10" ht="11.25">
      <c r="A399" s="31" t="s">
        <v>57</v>
      </c>
      <c r="B399" s="32"/>
      <c r="C399" s="32"/>
      <c r="D399" s="33"/>
      <c r="E399" s="32"/>
      <c r="H399" s="67">
        <v>-16843756</v>
      </c>
      <c r="I399" s="67">
        <f>-8533704-2622268-7293950</f>
        <v>-18449922</v>
      </c>
      <c r="J399" s="25">
        <f t="shared" si="35"/>
        <v>0.09535676009555114</v>
      </c>
    </row>
    <row r="400" spans="1:10" ht="11.25">
      <c r="A400" s="31" t="s">
        <v>58</v>
      </c>
      <c r="B400" s="32"/>
      <c r="C400" s="32"/>
      <c r="D400" s="33"/>
      <c r="E400" s="32"/>
      <c r="H400" s="67">
        <v>-652440</v>
      </c>
      <c r="I400" s="67">
        <f>-12000-339304-359440</f>
        <v>-710744</v>
      </c>
      <c r="J400" s="25">
        <f t="shared" si="35"/>
        <v>0.08936300655999019</v>
      </c>
    </row>
    <row r="401" spans="1:10" ht="11.25">
      <c r="A401" s="31" t="s">
        <v>59</v>
      </c>
      <c r="B401" s="32"/>
      <c r="C401" s="32"/>
      <c r="D401" s="33"/>
      <c r="E401" s="32"/>
      <c r="H401" s="59"/>
      <c r="I401" s="38"/>
      <c r="J401" s="25"/>
    </row>
    <row r="402" spans="1:10" ht="11.25">
      <c r="A402" s="27" t="s">
        <v>60</v>
      </c>
      <c r="B402" s="36"/>
      <c r="C402" s="36"/>
      <c r="D402" s="36"/>
      <c r="E402" s="36"/>
      <c r="F402" s="36"/>
      <c r="G402" s="36"/>
      <c r="H402" s="59">
        <f>SUM(H390:H400)</f>
        <v>363110578</v>
      </c>
      <c r="I402" s="37">
        <f>SUM(I390:I400)</f>
        <v>454802244</v>
      </c>
      <c r="J402" s="30">
        <f>(I402-H402)/H402</f>
        <v>0.25251719876913087</v>
      </c>
    </row>
    <row r="403" spans="1:9" ht="11.25">
      <c r="A403" s="39" t="s">
        <v>61</v>
      </c>
      <c r="E403" s="67">
        <v>8318552</v>
      </c>
      <c r="F403" s="41">
        <f>5877776+4627820</f>
        <v>10505596</v>
      </c>
      <c r="G403" s="42">
        <f>(F403-E403)/E403</f>
        <v>0.26291162211884955</v>
      </c>
      <c r="H403" s="43" t="s">
        <v>95</v>
      </c>
      <c r="I403" s="44">
        <f>12819730+98850370+236516430</f>
        <v>348186530</v>
      </c>
    </row>
    <row r="404" spans="1:9" ht="11.25">
      <c r="A404" s="39" t="s">
        <v>19</v>
      </c>
      <c r="E404" s="69">
        <v>68501</v>
      </c>
      <c r="F404" s="46">
        <f>46799.93+35157.77</f>
        <v>81957.7</v>
      </c>
      <c r="G404" s="42">
        <f>(F404-E404)/E404</f>
        <v>0.1964453073677756</v>
      </c>
      <c r="H404" s="43" t="s">
        <v>96</v>
      </c>
      <c r="I404" s="44">
        <f>62386164+44229550</f>
        <v>106615714</v>
      </c>
    </row>
    <row r="405" spans="1:9" ht="11.25">
      <c r="A405" s="39" t="str">
        <f>A365</f>
        <v>2005 Adopted/2006 Revenue Neutral Tax Rate</v>
      </c>
      <c r="E405" s="61">
        <v>1.536</v>
      </c>
      <c r="F405" s="60">
        <v>1.22354</v>
      </c>
      <c r="G405" s="42">
        <f>(F405-E405)/E405</f>
        <v>-0.20342447916666664</v>
      </c>
      <c r="H405" s="24"/>
      <c r="I405" s="51">
        <f>SUM(I403:I404)</f>
        <v>454802244</v>
      </c>
    </row>
    <row r="406" spans="1:10" ht="11.25">
      <c r="A406" s="39" t="s">
        <v>62</v>
      </c>
      <c r="B406" s="40"/>
      <c r="C406" s="40"/>
      <c r="D406" s="40"/>
      <c r="E406" s="40"/>
      <c r="F406" s="60"/>
      <c r="G406" s="40"/>
      <c r="H406" s="44">
        <f>(H402-E403)*E405/100+E404</f>
        <v>5518106.51936</v>
      </c>
      <c r="I406" s="44">
        <f>(I402-F403)*F405/100+F404</f>
        <v>5518104.9069392</v>
      </c>
      <c r="J406" s="25">
        <f>(I406-H406)/H406</f>
        <v>-2.92205450272642E-07</v>
      </c>
    </row>
    <row r="407" spans="1:10" ht="11.25">
      <c r="A407" s="39" t="s">
        <v>18</v>
      </c>
      <c r="B407" s="40"/>
      <c r="C407" s="40"/>
      <c r="D407" s="40"/>
      <c r="E407" s="40"/>
      <c r="F407" s="60"/>
      <c r="G407" s="40"/>
      <c r="H407" s="67">
        <v>4207564</v>
      </c>
      <c r="I407" s="44">
        <f>2093314+481050</f>
        <v>2574364</v>
      </c>
      <c r="J407" s="25">
        <f>(I407-H407)/H407</f>
        <v>-0.3881580886232509</v>
      </c>
    </row>
    <row r="408" spans="1:10" ht="11.25">
      <c r="A408" s="22" t="s">
        <v>17</v>
      </c>
      <c r="F408" s="24"/>
      <c r="H408" s="67">
        <v>54701</v>
      </c>
      <c r="I408" s="44">
        <f>2793+23481+61+2769+27173</f>
        <v>56277</v>
      </c>
      <c r="J408" s="25">
        <f>(I408-H408)/H408</f>
        <v>0.02881117347032047</v>
      </c>
    </row>
    <row r="409" spans="1:10" ht="11.25">
      <c r="A409" s="20" t="s">
        <v>82</v>
      </c>
      <c r="B409" s="21" t="s">
        <v>32</v>
      </c>
      <c r="C409" s="21"/>
      <c r="D409" s="21"/>
      <c r="E409" s="21" t="s">
        <v>33</v>
      </c>
      <c r="F409" s="21"/>
      <c r="G409" s="21"/>
      <c r="H409" s="21" t="s">
        <v>34</v>
      </c>
      <c r="I409" s="21"/>
      <c r="J409" s="21"/>
    </row>
    <row r="410" spans="1:11" ht="11.25">
      <c r="A410" s="22" t="s">
        <v>35</v>
      </c>
      <c r="B410" s="22" t="str">
        <f>B373</f>
        <v>2005 Certified</v>
      </c>
      <c r="C410" s="22" t="str">
        <f>C373</f>
        <v>2006 Certified</v>
      </c>
      <c r="D410" s="23" t="s">
        <v>67</v>
      </c>
      <c r="E410" s="22" t="str">
        <f>B410</f>
        <v>2005 Certified</v>
      </c>
      <c r="F410" s="22" t="str">
        <f>C409:C410</f>
        <v>2006 Certified</v>
      </c>
      <c r="G410" s="23" t="s">
        <v>67</v>
      </c>
      <c r="H410" s="23" t="str">
        <f>H373</f>
        <v>2005 Total</v>
      </c>
      <c r="I410" s="23" t="str">
        <f>I373</f>
        <v>2006 Total</v>
      </c>
      <c r="J410" s="23" t="s">
        <v>67</v>
      </c>
      <c r="K410" s="23" t="s">
        <v>71</v>
      </c>
    </row>
    <row r="411" ht="12">
      <c r="A411" s="73" t="s">
        <v>83</v>
      </c>
    </row>
    <row r="412" spans="1:11" ht="11.25">
      <c r="A412" s="22" t="s">
        <v>36</v>
      </c>
      <c r="B412" s="24">
        <v>0</v>
      </c>
      <c r="C412" s="24">
        <v>0</v>
      </c>
      <c r="E412" s="24">
        <v>106820900</v>
      </c>
      <c r="F412" s="24">
        <v>120085150</v>
      </c>
      <c r="G412" s="25">
        <f>(F412-E412)/E412</f>
        <v>0.12417279764540459</v>
      </c>
      <c r="H412" s="24">
        <f aca="true" t="shared" si="36" ref="H412:I422">B412+E412</f>
        <v>106820900</v>
      </c>
      <c r="I412" s="24">
        <f t="shared" si="36"/>
        <v>120085150</v>
      </c>
      <c r="J412" s="25">
        <f aca="true" t="shared" si="37" ref="J412:J429">(I412-H412)/H412</f>
        <v>0.12417279764540459</v>
      </c>
      <c r="K412" s="56">
        <f>I412/I423</f>
        <v>0.23309177820319646</v>
      </c>
    </row>
    <row r="413" spans="1:11" ht="11.25">
      <c r="A413" s="22" t="s">
        <v>37</v>
      </c>
      <c r="B413" s="24">
        <v>0</v>
      </c>
      <c r="C413" s="24">
        <v>0</v>
      </c>
      <c r="E413" s="24">
        <v>481210</v>
      </c>
      <c r="F413" s="24">
        <v>481210</v>
      </c>
      <c r="G413" s="25">
        <f>(F413-E413)/E413</f>
        <v>0</v>
      </c>
      <c r="H413" s="24">
        <f t="shared" si="36"/>
        <v>481210</v>
      </c>
      <c r="I413" s="24">
        <f t="shared" si="36"/>
        <v>481210</v>
      </c>
      <c r="J413" s="25">
        <f t="shared" si="37"/>
        <v>0</v>
      </c>
      <c r="K413" s="56">
        <f>I413/I423</f>
        <v>0.0009340546652867583</v>
      </c>
    </row>
    <row r="414" spans="1:11" ht="11.25">
      <c r="A414" s="22" t="s">
        <v>38</v>
      </c>
      <c r="B414" s="24">
        <v>0</v>
      </c>
      <c r="C414" s="24">
        <v>0</v>
      </c>
      <c r="E414" s="24">
        <v>3917080</v>
      </c>
      <c r="F414" s="24">
        <v>3890700</v>
      </c>
      <c r="G414" s="25">
        <f>(F414-E414)/E414</f>
        <v>-0.006734608432812197</v>
      </c>
      <c r="H414" s="24">
        <f t="shared" si="36"/>
        <v>3917080</v>
      </c>
      <c r="I414" s="24">
        <f t="shared" si="36"/>
        <v>3890700</v>
      </c>
      <c r="J414" s="25">
        <f t="shared" si="37"/>
        <v>-0.006734608432812197</v>
      </c>
      <c r="K414" s="56">
        <f>I414/I423</f>
        <v>0.00755205936333657</v>
      </c>
    </row>
    <row r="415" spans="1:11" ht="11.25">
      <c r="A415" s="22" t="s">
        <v>39</v>
      </c>
      <c r="B415" s="24">
        <v>0</v>
      </c>
      <c r="C415" s="24">
        <v>0</v>
      </c>
      <c r="E415" s="24">
        <v>87889870</v>
      </c>
      <c r="F415" s="24">
        <f>69246380+23907520</f>
        <v>93153900</v>
      </c>
      <c r="G415" s="25">
        <f>(F415-E415)/E415</f>
        <v>0.0598934780538417</v>
      </c>
      <c r="H415" s="24">
        <f t="shared" si="36"/>
        <v>87889870</v>
      </c>
      <c r="I415" s="24">
        <f t="shared" si="36"/>
        <v>93153900</v>
      </c>
      <c r="J415" s="25">
        <f t="shared" si="37"/>
        <v>0.0598934780538417</v>
      </c>
      <c r="K415" s="56">
        <f>I415/I423</f>
        <v>0.18081676375107783</v>
      </c>
    </row>
    <row r="416" spans="1:11" ht="11.25">
      <c r="A416" s="22" t="s">
        <v>40</v>
      </c>
      <c r="B416" s="24">
        <v>0</v>
      </c>
      <c r="C416" s="24">
        <v>0</v>
      </c>
      <c r="D416" s="25"/>
      <c r="E416" s="24">
        <v>18866910</v>
      </c>
      <c r="F416" s="24">
        <v>19686010</v>
      </c>
      <c r="G416" s="25">
        <f>(F416-E416)/E416</f>
        <v>0.043414634404891954</v>
      </c>
      <c r="H416" s="24">
        <f t="shared" si="36"/>
        <v>18866910</v>
      </c>
      <c r="I416" s="24">
        <f t="shared" si="36"/>
        <v>19686010</v>
      </c>
      <c r="J416" s="25">
        <f t="shared" si="37"/>
        <v>0.043414634404891954</v>
      </c>
      <c r="K416" s="56">
        <f>I416/I423</f>
        <v>0.03821161131601957</v>
      </c>
    </row>
    <row r="417" spans="1:11" ht="11.25">
      <c r="A417" s="22" t="s">
        <v>41</v>
      </c>
      <c r="B417" s="24">
        <v>65818770</v>
      </c>
      <c r="C417" s="24">
        <v>121521460</v>
      </c>
      <c r="D417" s="25">
        <f>(C417-B417)/B417</f>
        <v>0.8463040254322589</v>
      </c>
      <c r="E417" s="24">
        <v>0</v>
      </c>
      <c r="F417" s="24">
        <v>0</v>
      </c>
      <c r="G417" s="25"/>
      <c r="H417" s="24">
        <f t="shared" si="36"/>
        <v>65818770</v>
      </c>
      <c r="I417" s="24">
        <f t="shared" si="36"/>
        <v>121521460</v>
      </c>
      <c r="J417" s="25">
        <f t="shared" si="37"/>
        <v>0.8463040254322589</v>
      </c>
      <c r="K417" s="56">
        <f>I417/I423</f>
        <v>0.23587973368271273</v>
      </c>
    </row>
    <row r="418" spans="1:11" ht="11.25">
      <c r="A418" s="22" t="s">
        <v>42</v>
      </c>
      <c r="B418" s="24">
        <v>0</v>
      </c>
      <c r="C418" s="24"/>
      <c r="D418" s="25"/>
      <c r="E418" s="24">
        <v>187860</v>
      </c>
      <c r="F418" s="24">
        <v>184330</v>
      </c>
      <c r="G418" s="25">
        <f aca="true" t="shared" si="38" ref="G418:G423">(F418-E418)/E418</f>
        <v>-0.018790588736292985</v>
      </c>
      <c r="H418" s="24">
        <f t="shared" si="36"/>
        <v>187860</v>
      </c>
      <c r="I418" s="24">
        <f t="shared" si="36"/>
        <v>184330</v>
      </c>
      <c r="J418" s="25">
        <f t="shared" si="37"/>
        <v>-0.018790588736292985</v>
      </c>
      <c r="K418" s="56">
        <f>I418/I423</f>
        <v>0.00035779451061347054</v>
      </c>
    </row>
    <row r="419" spans="1:11" ht="11.25">
      <c r="A419" s="22" t="s">
        <v>43</v>
      </c>
      <c r="B419" s="24">
        <v>80616560</v>
      </c>
      <c r="C419" s="24">
        <v>115528370</v>
      </c>
      <c r="D419" s="25">
        <f>(C419-B419)/B419</f>
        <v>0.43306003133847437</v>
      </c>
      <c r="E419" s="24">
        <v>23577610</v>
      </c>
      <c r="F419" s="24">
        <f>22888280+14800</f>
        <v>22903080</v>
      </c>
      <c r="G419" s="25">
        <f t="shared" si="38"/>
        <v>-0.028608921769424468</v>
      </c>
      <c r="H419" s="24">
        <f t="shared" si="36"/>
        <v>104194170</v>
      </c>
      <c r="I419" s="24">
        <f t="shared" si="36"/>
        <v>138431450</v>
      </c>
      <c r="J419" s="25">
        <f t="shared" si="37"/>
        <v>0.32859112942691515</v>
      </c>
      <c r="K419" s="56">
        <f>I419/I423</f>
        <v>0.26870293987014116</v>
      </c>
    </row>
    <row r="420" spans="1:11" ht="11.25">
      <c r="A420" s="22" t="s">
        <v>44</v>
      </c>
      <c r="B420" s="24">
        <v>0</v>
      </c>
      <c r="C420" s="24">
        <v>0</v>
      </c>
      <c r="D420" s="25"/>
      <c r="E420" s="24">
        <v>13892410</v>
      </c>
      <c r="F420" s="24">
        <v>13494750</v>
      </c>
      <c r="G420" s="25">
        <f t="shared" si="38"/>
        <v>-0.02862426317679942</v>
      </c>
      <c r="H420" s="24">
        <f t="shared" si="36"/>
        <v>13892410</v>
      </c>
      <c r="I420" s="24">
        <f t="shared" si="36"/>
        <v>13494750</v>
      </c>
      <c r="J420" s="25">
        <f t="shared" si="37"/>
        <v>-0.02862426317679942</v>
      </c>
      <c r="K420" s="56">
        <f>I420/I423</f>
        <v>0.02619404042804281</v>
      </c>
    </row>
    <row r="421" spans="1:11" ht="11.25">
      <c r="A421" s="22" t="s">
        <v>45</v>
      </c>
      <c r="B421" s="24">
        <v>0</v>
      </c>
      <c r="C421" s="24">
        <v>0</v>
      </c>
      <c r="D421" s="25"/>
      <c r="E421" s="24">
        <v>401490</v>
      </c>
      <c r="F421" s="24">
        <v>271380</v>
      </c>
      <c r="G421" s="25">
        <f t="shared" si="38"/>
        <v>-0.32406784726892324</v>
      </c>
      <c r="H421" s="24">
        <f t="shared" si="36"/>
        <v>401490</v>
      </c>
      <c r="I421" s="24">
        <f t="shared" si="36"/>
        <v>271380</v>
      </c>
      <c r="J421" s="25">
        <f t="shared" si="37"/>
        <v>-0.32406784726892324</v>
      </c>
      <c r="K421" s="56">
        <f>I421/I423</f>
        <v>0.00052676327396671</v>
      </c>
    </row>
    <row r="422" spans="1:11" ht="11.25">
      <c r="A422" s="22" t="s">
        <v>46</v>
      </c>
      <c r="B422" s="24">
        <v>4760</v>
      </c>
      <c r="C422" s="24"/>
      <c r="D422" s="26"/>
      <c r="E422" s="24">
        <v>3704450</v>
      </c>
      <c r="F422" s="24">
        <v>3983640</v>
      </c>
      <c r="G422" s="26">
        <f t="shared" si="38"/>
        <v>0.07536611372808379</v>
      </c>
      <c r="H422" s="24">
        <f t="shared" si="36"/>
        <v>3709210</v>
      </c>
      <c r="I422" s="24">
        <f t="shared" si="36"/>
        <v>3983640</v>
      </c>
      <c r="J422" s="26">
        <f t="shared" si="37"/>
        <v>0.07398610485790774</v>
      </c>
      <c r="K422" s="64">
        <f>I422/I423</f>
        <v>0.007732460935605956</v>
      </c>
    </row>
    <row r="423" spans="1:11" ht="11.25">
      <c r="A423" s="27" t="s">
        <v>47</v>
      </c>
      <c r="B423" s="28">
        <f>SUM(B412:B422)</f>
        <v>146440090</v>
      </c>
      <c r="C423" s="28">
        <f>SUM(C412:C422)</f>
        <v>237049830</v>
      </c>
      <c r="D423" s="26">
        <f>(C423-B423)/B423</f>
        <v>0.6187495514377245</v>
      </c>
      <c r="E423" s="28">
        <f>SUM(E412:E422)</f>
        <v>259739790</v>
      </c>
      <c r="F423" s="28">
        <f>SUM(F412:F422)</f>
        <v>278134150</v>
      </c>
      <c r="G423" s="26">
        <f t="shared" si="38"/>
        <v>0.07081841407510185</v>
      </c>
      <c r="H423" s="37">
        <f>SUM(H412:H422)</f>
        <v>406179880</v>
      </c>
      <c r="I423" s="37">
        <f>SUM(I412:I422)</f>
        <v>515183980</v>
      </c>
      <c r="J423" s="30">
        <f t="shared" si="37"/>
        <v>0.2683641050856581</v>
      </c>
      <c r="K423" s="25">
        <f>SUM(K412:K422)</f>
        <v>1</v>
      </c>
    </row>
    <row r="424" spans="1:10" ht="11.25">
      <c r="A424" s="31" t="s">
        <v>73</v>
      </c>
      <c r="H424" s="67">
        <v>-355830</v>
      </c>
      <c r="I424" s="67">
        <f>-369680-10</f>
        <v>-369690</v>
      </c>
      <c r="J424" s="45">
        <f t="shared" si="37"/>
        <v>0.03895118455442206</v>
      </c>
    </row>
    <row r="425" spans="1:10" ht="11.25">
      <c r="A425" s="31" t="s">
        <v>70</v>
      </c>
      <c r="H425" s="67">
        <v>-1966590</v>
      </c>
      <c r="I425" s="67">
        <v>-2590640</v>
      </c>
      <c r="J425" s="45">
        <f t="shared" si="37"/>
        <v>0.3173259296548849</v>
      </c>
    </row>
    <row r="426" spans="1:10" ht="11.25">
      <c r="A426" s="31" t="s">
        <v>49</v>
      </c>
      <c r="H426" s="67">
        <v>-44555490</v>
      </c>
      <c r="I426" s="67">
        <v>-46295270</v>
      </c>
      <c r="J426" s="26">
        <f t="shared" si="37"/>
        <v>0.039047488872863925</v>
      </c>
    </row>
    <row r="427" spans="1:10" ht="11.25">
      <c r="A427" s="27" t="s">
        <v>50</v>
      </c>
      <c r="B427" s="36"/>
      <c r="C427" s="36"/>
      <c r="D427" s="36"/>
      <c r="E427" s="36"/>
      <c r="F427" s="36"/>
      <c r="G427" s="36"/>
      <c r="H427" s="37">
        <f>SUM(H423:H426)</f>
        <v>359301970</v>
      </c>
      <c r="I427" s="37">
        <f>SUM(I423:I426)</f>
        <v>465928380</v>
      </c>
      <c r="J427" s="30">
        <f t="shared" si="37"/>
        <v>0.29675988138890524</v>
      </c>
    </row>
    <row r="428" spans="1:10" ht="11.25">
      <c r="A428" s="31" t="s">
        <v>77</v>
      </c>
      <c r="H428" s="68">
        <v>-510</v>
      </c>
      <c r="I428" s="68">
        <v>-1860</v>
      </c>
      <c r="J428" s="25">
        <f t="shared" si="37"/>
        <v>2.6470588235294117</v>
      </c>
    </row>
    <row r="429" spans="1:10" ht="11.25">
      <c r="A429" s="31" t="s">
        <v>78</v>
      </c>
      <c r="H429" s="68">
        <v>-182631</v>
      </c>
      <c r="I429" s="68">
        <v>-177496</v>
      </c>
      <c r="J429" s="25">
        <f t="shared" si="37"/>
        <v>-0.02811680382848476</v>
      </c>
    </row>
    <row r="430" spans="1:10" ht="11.25">
      <c r="A430" s="31" t="s">
        <v>51</v>
      </c>
      <c r="H430" s="68"/>
      <c r="I430" s="38"/>
      <c r="J430" s="25"/>
    </row>
    <row r="431" spans="1:10" ht="11.25">
      <c r="A431" s="31" t="s">
        <v>52</v>
      </c>
      <c r="H431" s="67">
        <v>-3805460</v>
      </c>
      <c r="I431" s="67">
        <f>-4119390-7870-47620</f>
        <v>-4174880</v>
      </c>
      <c r="J431" s="25">
        <f>(I431-H431)/H431</f>
        <v>0.09707630614958507</v>
      </c>
    </row>
    <row r="432" spans="1:10" ht="11.25">
      <c r="A432" s="31" t="s">
        <v>53</v>
      </c>
      <c r="H432" s="67">
        <v>0</v>
      </c>
      <c r="I432" s="67">
        <v>0</v>
      </c>
      <c r="J432" s="25"/>
    </row>
    <row r="433" spans="1:10" ht="11.25">
      <c r="A433" s="31" t="s">
        <v>54</v>
      </c>
      <c r="H433" s="67">
        <v>0</v>
      </c>
      <c r="I433" s="67">
        <v>0</v>
      </c>
      <c r="J433" s="25"/>
    </row>
    <row r="434" spans="1:10" ht="11.25">
      <c r="A434" s="31" t="s">
        <v>55</v>
      </c>
      <c r="H434" s="67">
        <v>0</v>
      </c>
      <c r="I434" s="67">
        <v>0</v>
      </c>
      <c r="J434" s="25"/>
    </row>
    <row r="435" spans="1:10" ht="11.25">
      <c r="A435" s="31" t="s">
        <v>56</v>
      </c>
      <c r="H435" s="67">
        <v>-452110</v>
      </c>
      <c r="I435" s="67">
        <v>-506480</v>
      </c>
      <c r="J435" s="25">
        <f>(I435-H435)/H435</f>
        <v>0.1202583442082679</v>
      </c>
    </row>
    <row r="436" spans="1:10" ht="11.25">
      <c r="A436" s="31" t="s">
        <v>57</v>
      </c>
      <c r="H436" s="68">
        <v>-21476744</v>
      </c>
      <c r="I436" s="68">
        <v>-23426222</v>
      </c>
      <c r="J436" s="25">
        <f>(I436-H436)/H436</f>
        <v>0.09077158064555782</v>
      </c>
    </row>
    <row r="437" spans="1:10" ht="11.25">
      <c r="A437" s="31" t="s">
        <v>58</v>
      </c>
      <c r="H437" s="68">
        <v>-2922330</v>
      </c>
      <c r="I437" s="68">
        <v>-2952490</v>
      </c>
      <c r="J437" s="25">
        <f>(I437-H437)/H437</f>
        <v>0.010320531904336608</v>
      </c>
    </row>
    <row r="438" spans="1:10" ht="11.25">
      <c r="A438" s="31" t="s">
        <v>59</v>
      </c>
      <c r="H438" s="38">
        <v>0</v>
      </c>
      <c r="I438" s="38">
        <v>0</v>
      </c>
      <c r="J438" s="26"/>
    </row>
    <row r="439" spans="1:10" ht="11.25">
      <c r="A439" s="27" t="s">
        <v>60</v>
      </c>
      <c r="B439" s="36"/>
      <c r="C439" s="36"/>
      <c r="D439" s="36"/>
      <c r="E439" s="36"/>
      <c r="F439" s="36"/>
      <c r="G439" s="36"/>
      <c r="H439" s="37">
        <f>SUM(H427:H438)</f>
        <v>330462185</v>
      </c>
      <c r="I439" s="37">
        <f>SUM(I427:I438)</f>
        <v>434688952</v>
      </c>
      <c r="J439" s="30">
        <f>(I439-H439)/H439</f>
        <v>0.3153969553278842</v>
      </c>
    </row>
    <row r="440" spans="1:12" ht="12.75">
      <c r="A440" s="39" t="str">
        <f>A405</f>
        <v>2005 Adopted/2006 Revenue Neutral Tax Rate</v>
      </c>
      <c r="E440" s="61">
        <v>0.02384</v>
      </c>
      <c r="F440" s="61">
        <v>0.01813</v>
      </c>
      <c r="G440" s="25">
        <f>(F440-E440)/E440</f>
        <v>-0.23951342281879193</v>
      </c>
      <c r="H440" s="43" t="s">
        <v>95</v>
      </c>
      <c r="I440" s="44">
        <f>115480740+121143910</f>
        <v>236624650</v>
      </c>
      <c r="J440" s="25"/>
      <c r="K440" s="52"/>
      <c r="L440" s="52"/>
    </row>
    <row r="441" spans="1:12" ht="12.75">
      <c r="A441" s="52"/>
      <c r="B441" s="40"/>
      <c r="C441" s="40"/>
      <c r="D441" s="40"/>
      <c r="E441" s="40"/>
      <c r="F441" s="40"/>
      <c r="G441" s="40"/>
      <c r="H441" s="43" t="s">
        <v>96</v>
      </c>
      <c r="I441" s="44">
        <v>198064302</v>
      </c>
      <c r="J441" s="52"/>
      <c r="K441" s="52"/>
      <c r="L441" s="52"/>
    </row>
    <row r="442" spans="1:10" ht="12.75">
      <c r="A442" s="52"/>
      <c r="G442" s="42"/>
      <c r="H442" s="52"/>
      <c r="I442" s="54">
        <f>SUM(I440:I441)</f>
        <v>434688952</v>
      </c>
      <c r="J442" s="52"/>
    </row>
    <row r="443" spans="1:10" ht="11.25">
      <c r="A443" s="39" t="s">
        <v>62</v>
      </c>
      <c r="H443" s="44">
        <f>(H439*E440)/100</f>
        <v>78782.18490400001</v>
      </c>
      <c r="I443" s="44">
        <f>(I439*F440)/100</f>
        <v>78809.1069976</v>
      </c>
      <c r="J443" s="25">
        <f>(I443-H443)/H443</f>
        <v>0.0003417281918849669</v>
      </c>
    </row>
    <row r="444" spans="1:10" ht="11.25">
      <c r="A444" s="39" t="s">
        <v>18</v>
      </c>
      <c r="H444" s="24">
        <v>3499208</v>
      </c>
      <c r="I444" s="24">
        <v>6052418</v>
      </c>
      <c r="J444" s="25">
        <f>(I444-H444)/H444</f>
        <v>0.729653681633101</v>
      </c>
    </row>
    <row r="445" spans="1:10" ht="11.25">
      <c r="A445" s="39" t="s">
        <v>17</v>
      </c>
      <c r="H445" s="24">
        <v>28105</v>
      </c>
      <c r="I445" s="24">
        <f>6183+165+7870</f>
        <v>14218</v>
      </c>
      <c r="J445" s="25">
        <f>(I445-H445)/H445</f>
        <v>-0.4941113680839708</v>
      </c>
    </row>
    <row r="446" spans="1:10" ht="11.25">
      <c r="A446" s="20" t="s">
        <v>86</v>
      </c>
      <c r="B446" s="21" t="s">
        <v>32</v>
      </c>
      <c r="C446" s="21"/>
      <c r="D446" s="21"/>
      <c r="E446" s="21" t="s">
        <v>33</v>
      </c>
      <c r="F446" s="21"/>
      <c r="G446" s="21"/>
      <c r="H446" s="21" t="s">
        <v>34</v>
      </c>
      <c r="I446" s="21"/>
      <c r="J446" s="21"/>
    </row>
    <row r="447" spans="1:11" ht="11.25">
      <c r="A447" s="22" t="s">
        <v>35</v>
      </c>
      <c r="B447" s="22" t="str">
        <f>B410</f>
        <v>2005 Certified</v>
      </c>
      <c r="C447" s="22" t="str">
        <f>C410</f>
        <v>2006 Certified</v>
      </c>
      <c r="D447" s="23" t="s">
        <v>67</v>
      </c>
      <c r="E447" s="22" t="str">
        <f>B447</f>
        <v>2005 Certified</v>
      </c>
      <c r="F447" s="22" t="str">
        <f>C447</f>
        <v>2006 Certified</v>
      </c>
      <c r="G447" s="23" t="s">
        <v>67</v>
      </c>
      <c r="H447" s="23" t="str">
        <f>H410</f>
        <v>2005 Total</v>
      </c>
      <c r="I447" s="23" t="str">
        <f>I410</f>
        <v>2006 Total</v>
      </c>
      <c r="J447" s="23" t="s">
        <v>67</v>
      </c>
      <c r="K447" s="23" t="s">
        <v>71</v>
      </c>
    </row>
    <row r="448" ht="12">
      <c r="A448" s="73" t="s">
        <v>84</v>
      </c>
    </row>
    <row r="449" spans="1:11" ht="11.25">
      <c r="A449" s="22" t="s">
        <v>36</v>
      </c>
      <c r="B449" s="24">
        <v>0</v>
      </c>
      <c r="C449" s="24">
        <v>0</v>
      </c>
      <c r="E449" s="24">
        <v>38312550</v>
      </c>
      <c r="F449" s="24">
        <v>39985550</v>
      </c>
      <c r="G449" s="25">
        <f>(F449-E449)/E449</f>
        <v>0.043667153452328286</v>
      </c>
      <c r="H449" s="24">
        <f aca="true" t="shared" si="39" ref="H449:I459">B449+E449</f>
        <v>38312550</v>
      </c>
      <c r="I449" s="24">
        <f t="shared" si="39"/>
        <v>39985550</v>
      </c>
      <c r="J449" s="25">
        <f>(I449-H449)/H449</f>
        <v>0.043667153452328286</v>
      </c>
      <c r="K449" s="56">
        <f>I449/I460</f>
        <v>0.09462982592161757</v>
      </c>
    </row>
    <row r="450" spans="1:11" ht="11.25">
      <c r="A450" s="22" t="s">
        <v>37</v>
      </c>
      <c r="B450" s="24">
        <v>0</v>
      </c>
      <c r="C450" s="24">
        <v>0</v>
      </c>
      <c r="E450" s="24">
        <v>45360</v>
      </c>
      <c r="F450" s="24">
        <v>49340</v>
      </c>
      <c r="G450" s="25">
        <f>(F450-E450)/E450</f>
        <v>0.08774250440917107</v>
      </c>
      <c r="H450" s="24">
        <f t="shared" si="39"/>
        <v>45360</v>
      </c>
      <c r="I450" s="24">
        <f t="shared" si="39"/>
        <v>49340</v>
      </c>
      <c r="J450" s="25"/>
      <c r="K450" s="56">
        <f>I450/I460</f>
        <v>0.00011676807274059281</v>
      </c>
    </row>
    <row r="451" spans="1:11" ht="11.25">
      <c r="A451" s="22" t="s">
        <v>38</v>
      </c>
      <c r="B451" s="24">
        <v>0</v>
      </c>
      <c r="C451" s="24">
        <v>0</v>
      </c>
      <c r="E451" s="24">
        <v>1616160</v>
      </c>
      <c r="F451" s="24">
        <v>1826870</v>
      </c>
      <c r="G451" s="25">
        <f>(F451-E451)/E451</f>
        <v>0.13037694287694288</v>
      </c>
      <c r="H451" s="24">
        <f t="shared" si="39"/>
        <v>1616160</v>
      </c>
      <c r="I451" s="24">
        <f t="shared" si="39"/>
        <v>1826870</v>
      </c>
      <c r="J451" s="25">
        <f aca="true" t="shared" si="40" ref="J451:J457">(I451-H451)/H451</f>
        <v>0.13037694287694288</v>
      </c>
      <c r="K451" s="56">
        <f>I451/I460</f>
        <v>0.00432347160615336</v>
      </c>
    </row>
    <row r="452" spans="1:11" ht="11.25">
      <c r="A452" s="22" t="s">
        <v>39</v>
      </c>
      <c r="B452" s="24">
        <v>0</v>
      </c>
      <c r="C452" s="24">
        <v>0</v>
      </c>
      <c r="E452" s="24">
        <v>48603780</v>
      </c>
      <c r="F452" s="24">
        <f>37580950+13777690</f>
        <v>51358640</v>
      </c>
      <c r="G452" s="25">
        <f>(F452-E452)/E452</f>
        <v>0.056679953699074435</v>
      </c>
      <c r="H452" s="24">
        <f t="shared" si="39"/>
        <v>48603780</v>
      </c>
      <c r="I452" s="24">
        <f t="shared" si="39"/>
        <v>51358640</v>
      </c>
      <c r="J452" s="25">
        <f t="shared" si="40"/>
        <v>0.056679953699074435</v>
      </c>
      <c r="K452" s="56">
        <f>I452/I460</f>
        <v>0.12154538734045237</v>
      </c>
    </row>
    <row r="453" spans="1:11" ht="11.25">
      <c r="A453" s="22" t="s">
        <v>40</v>
      </c>
      <c r="B453" s="24">
        <v>0</v>
      </c>
      <c r="C453" s="24">
        <v>0</v>
      </c>
      <c r="D453" s="25"/>
      <c r="E453" s="24">
        <v>2403180</v>
      </c>
      <c r="F453" s="24">
        <v>2286950</v>
      </c>
      <c r="G453" s="25">
        <f>(F453-E453)/E453</f>
        <v>-0.04836508293178206</v>
      </c>
      <c r="H453" s="24">
        <f t="shared" si="39"/>
        <v>2403180</v>
      </c>
      <c r="I453" s="24">
        <f t="shared" si="39"/>
        <v>2286950</v>
      </c>
      <c r="J453" s="25">
        <f t="shared" si="40"/>
        <v>-0.04836508293178206</v>
      </c>
      <c r="K453" s="56">
        <f>I453/I460</f>
        <v>0.00541229720215036</v>
      </c>
    </row>
    <row r="454" spans="1:11" ht="11.25">
      <c r="A454" s="22" t="s">
        <v>41</v>
      </c>
      <c r="B454" s="24">
        <v>94443540</v>
      </c>
      <c r="C454" s="24">
        <v>150989700</v>
      </c>
      <c r="D454" s="25">
        <f>(C454-B454)/B454</f>
        <v>0.5987297807769595</v>
      </c>
      <c r="E454" s="24">
        <v>0</v>
      </c>
      <c r="F454" s="24">
        <v>0</v>
      </c>
      <c r="G454" s="25"/>
      <c r="H454" s="24">
        <f t="shared" si="39"/>
        <v>94443540</v>
      </c>
      <c r="I454" s="24">
        <f t="shared" si="39"/>
        <v>150989700</v>
      </c>
      <c r="J454" s="25">
        <f t="shared" si="40"/>
        <v>0.5987297807769595</v>
      </c>
      <c r="K454" s="56">
        <f>I454/I460</f>
        <v>0.3573323119716313</v>
      </c>
    </row>
    <row r="455" spans="1:11" ht="11.25">
      <c r="A455" s="22" t="s">
        <v>42</v>
      </c>
      <c r="B455" s="24">
        <v>0</v>
      </c>
      <c r="C455" s="24">
        <v>0</v>
      </c>
      <c r="D455" s="25"/>
      <c r="E455" s="24">
        <v>457710</v>
      </c>
      <c r="F455" s="24">
        <v>57010</v>
      </c>
      <c r="G455" s="25">
        <f>(F455-E455)/E455</f>
        <v>-0.8754451508597146</v>
      </c>
      <c r="H455" s="24">
        <f t="shared" si="39"/>
        <v>457710</v>
      </c>
      <c r="I455" s="24">
        <f t="shared" si="39"/>
        <v>57010</v>
      </c>
      <c r="J455" s="25">
        <f t="shared" si="40"/>
        <v>-0.8754451508597146</v>
      </c>
      <c r="K455" s="56">
        <f>I455/I460</f>
        <v>0.00013491989920837448</v>
      </c>
    </row>
    <row r="456" spans="1:11" ht="11.25">
      <c r="A456" s="22" t="s">
        <v>43</v>
      </c>
      <c r="B456" s="24">
        <v>268303090</v>
      </c>
      <c r="C456" s="24">
        <v>161614800</v>
      </c>
      <c r="D456" s="25">
        <f>(C456-B456)/B456</f>
        <v>-0.3976409291447221</v>
      </c>
      <c r="E456" s="24">
        <v>5243620</v>
      </c>
      <c r="F456" s="24">
        <f>5309850+560+15580</f>
        <v>5325990</v>
      </c>
      <c r="G456" s="25">
        <f>(F456-E456)/E456</f>
        <v>0.01570861351509072</v>
      </c>
      <c r="H456" s="24">
        <f t="shared" si="39"/>
        <v>273546710</v>
      </c>
      <c r="I456" s="24">
        <f t="shared" si="39"/>
        <v>166940790</v>
      </c>
      <c r="J456" s="25">
        <f t="shared" si="40"/>
        <v>-0.3897174270529519</v>
      </c>
      <c r="K456" s="56">
        <f>I456/I460</f>
        <v>0.395082170857155</v>
      </c>
    </row>
    <row r="457" spans="1:11" ht="11.25">
      <c r="A457" s="22" t="s">
        <v>44</v>
      </c>
      <c r="B457" s="24">
        <v>0</v>
      </c>
      <c r="C457" s="24">
        <v>0</v>
      </c>
      <c r="D457" s="25"/>
      <c r="E457" s="24">
        <v>4461950</v>
      </c>
      <c r="F457" s="24">
        <v>3844700</v>
      </c>
      <c r="G457" s="25">
        <f>(F457-E457)/E457</f>
        <v>-0.13833637759275652</v>
      </c>
      <c r="H457" s="24">
        <f t="shared" si="39"/>
        <v>4461950</v>
      </c>
      <c r="I457" s="24">
        <f t="shared" si="39"/>
        <v>3844700</v>
      </c>
      <c r="J457" s="25">
        <f t="shared" si="40"/>
        <v>-0.13833637759275652</v>
      </c>
      <c r="K457" s="56">
        <f>I457/I460</f>
        <v>0.009098869259541086</v>
      </c>
    </row>
    <row r="458" spans="1:11" ht="11.25">
      <c r="A458" s="22" t="s">
        <v>45</v>
      </c>
      <c r="B458" s="24">
        <v>0</v>
      </c>
      <c r="C458" s="24">
        <v>0</v>
      </c>
      <c r="D458" s="25"/>
      <c r="E458" s="24">
        <v>0</v>
      </c>
      <c r="F458" s="24">
        <v>0</v>
      </c>
      <c r="G458" s="25"/>
      <c r="H458" s="24">
        <f t="shared" si="39"/>
        <v>0</v>
      </c>
      <c r="I458" s="24">
        <f t="shared" si="39"/>
        <v>0</v>
      </c>
      <c r="J458" s="25"/>
      <c r="K458" s="56">
        <f>I458/I460</f>
        <v>0</v>
      </c>
    </row>
    <row r="459" spans="1:11" ht="11.25">
      <c r="A459" s="22" t="s">
        <v>64</v>
      </c>
      <c r="B459" s="24">
        <v>0</v>
      </c>
      <c r="C459" s="24">
        <v>0</v>
      </c>
      <c r="D459" s="26"/>
      <c r="E459" s="24">
        <v>2501090</v>
      </c>
      <c r="F459" s="24">
        <v>5207460</v>
      </c>
      <c r="G459" s="26">
        <f>(F459-E459)/E459</f>
        <v>1.0820762147703602</v>
      </c>
      <c r="H459" s="24">
        <f t="shared" si="39"/>
        <v>2501090</v>
      </c>
      <c r="I459" s="24">
        <f t="shared" si="39"/>
        <v>5207460</v>
      </c>
      <c r="J459" s="26">
        <f>(I459-H459)/H459</f>
        <v>1.0820762147703602</v>
      </c>
      <c r="K459" s="64">
        <f>I459/I460</f>
        <v>0.012323977869349969</v>
      </c>
    </row>
    <row r="460" spans="1:11" ht="11.25">
      <c r="A460" s="27" t="s">
        <v>47</v>
      </c>
      <c r="B460" s="28">
        <f>SUM(B449:B459)</f>
        <v>362746630</v>
      </c>
      <c r="C460" s="28">
        <f>SUM(C449:C459)</f>
        <v>312604500</v>
      </c>
      <c r="D460" s="26">
        <f>(C460-B460)/B460</f>
        <v>-0.13822907190068176</v>
      </c>
      <c r="E460" s="28">
        <f>SUM(E449:E459)</f>
        <v>103645400</v>
      </c>
      <c r="F460" s="28">
        <f>SUM(F449:F459)</f>
        <v>109942510</v>
      </c>
      <c r="G460" s="26">
        <f>(F460-E460)/E460</f>
        <v>0.060756290197152986</v>
      </c>
      <c r="H460" s="37">
        <f>SUM(H449:H459)</f>
        <v>466392030</v>
      </c>
      <c r="I460" s="37">
        <f>SUM(I449:I459)</f>
        <v>422547010</v>
      </c>
      <c r="J460" s="62">
        <f>(I460-H460)/H460</f>
        <v>-0.09400893921793646</v>
      </c>
      <c r="K460" s="25">
        <f>SUM(K449:K459)</f>
        <v>1</v>
      </c>
    </row>
    <row r="461" spans="1:10" ht="11.25">
      <c r="A461" s="31" t="s">
        <v>73</v>
      </c>
      <c r="H461" s="67">
        <v>-298130</v>
      </c>
      <c r="I461" s="67">
        <f>-295110-100</f>
        <v>-295210</v>
      </c>
      <c r="J461" s="25"/>
    </row>
    <row r="462" spans="1:10" ht="11.25">
      <c r="A462" s="31" t="s">
        <v>70</v>
      </c>
      <c r="H462" s="67">
        <v>-755540</v>
      </c>
      <c r="I462" s="67">
        <v>-1158310</v>
      </c>
      <c r="J462" s="45">
        <f>(I462-H462)/H462</f>
        <v>0.5330889165365169</v>
      </c>
    </row>
    <row r="463" spans="1:10" ht="11.25">
      <c r="A463" s="31" t="s">
        <v>49</v>
      </c>
      <c r="H463" s="67">
        <v>-20746360</v>
      </c>
      <c r="I463" s="67">
        <v>-20976810</v>
      </c>
      <c r="J463" s="26">
        <f>(I463-H463)/H463</f>
        <v>0.011107972675688652</v>
      </c>
    </row>
    <row r="464" spans="1:10" ht="11.25">
      <c r="A464" s="27" t="s">
        <v>50</v>
      </c>
      <c r="B464" s="36"/>
      <c r="C464" s="36"/>
      <c r="D464" s="36"/>
      <c r="E464" s="36"/>
      <c r="F464" s="36"/>
      <c r="G464" s="36"/>
      <c r="H464" s="37">
        <f>SUM(H460:H463)</f>
        <v>444592000</v>
      </c>
      <c r="I464" s="37">
        <f>SUM(I460:I463)</f>
        <v>400116680</v>
      </c>
      <c r="J464" s="62">
        <f>(I464-H464)/H464</f>
        <v>-0.1000362579623565</v>
      </c>
    </row>
    <row r="465" spans="1:10" ht="11.25">
      <c r="A465" s="31" t="s">
        <v>77</v>
      </c>
      <c r="H465" s="68">
        <v>-550</v>
      </c>
      <c r="I465" s="68">
        <v>-1650</v>
      </c>
      <c r="J465" s="25">
        <f>(I465-H465)/H465</f>
        <v>2</v>
      </c>
    </row>
    <row r="466" spans="1:10" ht="11.25">
      <c r="A466" s="31" t="s">
        <v>78</v>
      </c>
      <c r="H466" s="68">
        <v>-7864944</v>
      </c>
      <c r="I466" s="68">
        <v>-14161049</v>
      </c>
      <c r="J466" s="25">
        <f>(I466-H466)/H466</f>
        <v>0.8005276324917253</v>
      </c>
    </row>
    <row r="467" spans="1:10" ht="11.25">
      <c r="A467" s="31" t="s">
        <v>51</v>
      </c>
      <c r="H467" s="38">
        <v>0</v>
      </c>
      <c r="I467" s="68">
        <v>0</v>
      </c>
      <c r="J467" s="25"/>
    </row>
    <row r="468" spans="1:10" ht="11.25">
      <c r="A468" s="31" t="s">
        <v>52</v>
      </c>
      <c r="H468" s="67">
        <v>-2552070</v>
      </c>
      <c r="I468" s="67">
        <f>-5233640-324140</f>
        <v>-5557780</v>
      </c>
      <c r="J468" s="25">
        <f>(I468-H468)/H468</f>
        <v>1.1777537449991575</v>
      </c>
    </row>
    <row r="469" spans="1:10" ht="11.25">
      <c r="A469" s="31" t="s">
        <v>53</v>
      </c>
      <c r="H469" s="67">
        <v>0</v>
      </c>
      <c r="I469" s="67">
        <v>0</v>
      </c>
      <c r="J469" s="25"/>
    </row>
    <row r="470" spans="1:10" ht="11.25">
      <c r="A470" s="31" t="s">
        <v>54</v>
      </c>
      <c r="H470" s="67">
        <v>0</v>
      </c>
      <c r="I470" s="67">
        <v>0</v>
      </c>
      <c r="J470" s="25"/>
    </row>
    <row r="471" spans="1:10" ht="11.25">
      <c r="A471" s="31" t="s">
        <v>55</v>
      </c>
      <c r="H471" s="67">
        <v>0</v>
      </c>
      <c r="I471" s="67">
        <v>0</v>
      </c>
      <c r="J471" s="25"/>
    </row>
    <row r="472" spans="1:10" ht="11.25">
      <c r="A472" s="31" t="s">
        <v>56</v>
      </c>
      <c r="H472" s="67">
        <v>-189190</v>
      </c>
      <c r="I472" s="67">
        <v>-194790</v>
      </c>
      <c r="J472" s="25">
        <f>(I472-H472)/H472</f>
        <v>0.029599873143400814</v>
      </c>
    </row>
    <row r="473" spans="1:10" ht="11.25">
      <c r="A473" s="31" t="s">
        <v>57</v>
      </c>
      <c r="H473" s="68">
        <v>-8511128</v>
      </c>
      <c r="I473" s="68">
        <v>-8869206</v>
      </c>
      <c r="J473" s="25">
        <f>(I473-H473)/H473</f>
        <v>0.0420717441918392</v>
      </c>
    </row>
    <row r="474" spans="1:10" ht="11.25">
      <c r="A474" s="31" t="s">
        <v>58</v>
      </c>
      <c r="H474" s="68">
        <v>-1100430</v>
      </c>
      <c r="I474" s="68">
        <v>-1067020</v>
      </c>
      <c r="J474" s="25">
        <f>(I474-H474)/H474</f>
        <v>-0.030360858936961006</v>
      </c>
    </row>
    <row r="475" spans="1:10" ht="11.25">
      <c r="A475" s="31" t="s">
        <v>59</v>
      </c>
      <c r="H475" s="38">
        <v>0</v>
      </c>
      <c r="I475" s="38">
        <v>0</v>
      </c>
      <c r="J475" s="26"/>
    </row>
    <row r="476" spans="1:10" ht="11.25">
      <c r="A476" s="27" t="s">
        <v>60</v>
      </c>
      <c r="B476" s="36"/>
      <c r="C476" s="36"/>
      <c r="D476" s="36"/>
      <c r="E476" s="36"/>
      <c r="F476" s="36"/>
      <c r="G476" s="36"/>
      <c r="H476" s="37">
        <f>SUM(H464:H475)</f>
        <v>424373688</v>
      </c>
      <c r="I476" s="37">
        <f>SUM(I464:I475)</f>
        <v>370265185</v>
      </c>
      <c r="J476" s="62">
        <f>(I476-H476)/H476</f>
        <v>-0.12750202128459953</v>
      </c>
    </row>
    <row r="477" spans="1:12" ht="12.75">
      <c r="A477" s="39" t="str">
        <f>A440</f>
        <v>2005 Adopted/2006 Revenue Neutral Tax Rate</v>
      </c>
      <c r="E477" s="61">
        <v>0.01145</v>
      </c>
      <c r="F477" s="61">
        <v>0.01312</v>
      </c>
      <c r="G477" s="25">
        <f>(F477-E477)/E477</f>
        <v>0.14585152838427945</v>
      </c>
      <c r="H477" s="43" t="s">
        <v>95</v>
      </c>
      <c r="I477" s="44"/>
      <c r="J477" s="25"/>
      <c r="K477" s="52"/>
      <c r="L477" s="52"/>
    </row>
    <row r="478" spans="1:12" ht="12.75">
      <c r="A478" s="52"/>
      <c r="B478" s="40"/>
      <c r="C478" s="40"/>
      <c r="D478" s="40"/>
      <c r="E478" s="40"/>
      <c r="F478" s="40"/>
      <c r="G478" s="40"/>
      <c r="H478" s="43" t="s">
        <v>96</v>
      </c>
      <c r="I478" s="44">
        <v>72441084</v>
      </c>
      <c r="J478" s="52"/>
      <c r="K478" s="52"/>
      <c r="L478" s="52"/>
    </row>
    <row r="479" spans="1:10" ht="12.75">
      <c r="A479" s="52"/>
      <c r="G479" s="42"/>
      <c r="H479" s="52"/>
      <c r="I479" s="54">
        <f>SUM(I477:I478)</f>
        <v>72441084</v>
      </c>
      <c r="J479" s="52"/>
    </row>
    <row r="480" spans="1:10" ht="11.25">
      <c r="A480" s="39" t="s">
        <v>62</v>
      </c>
      <c r="F480" s="48"/>
      <c r="H480" s="44">
        <f>(H476*E477)/100</f>
        <v>48590.787275999995</v>
      </c>
      <c r="I480" s="44">
        <f>(I476*F477)/100</f>
        <v>48578.792272</v>
      </c>
      <c r="J480" s="25">
        <f>(I480-H480)/H480</f>
        <v>-0.0002468575767637599</v>
      </c>
    </row>
    <row r="481" spans="1:10" ht="11.25">
      <c r="A481" s="39" t="s">
        <v>18</v>
      </c>
      <c r="H481" s="24">
        <v>1479500</v>
      </c>
      <c r="I481" s="24">
        <v>899710</v>
      </c>
      <c r="J481" s="25">
        <f>(I481-H481)/H481</f>
        <v>-0.39188239270023656</v>
      </c>
    </row>
    <row r="482" spans="1:10" ht="11.25">
      <c r="A482" s="39" t="s">
        <v>17</v>
      </c>
      <c r="H482" s="24">
        <v>14622</v>
      </c>
      <c r="I482" s="24">
        <v>3191</v>
      </c>
      <c r="J482" s="25">
        <f>(I482-H482)/H482</f>
        <v>-0.7817672001094241</v>
      </c>
    </row>
    <row r="483" spans="1:10" ht="12">
      <c r="A483" s="73"/>
      <c r="B483" s="21" t="s">
        <v>32</v>
      </c>
      <c r="C483" s="21"/>
      <c r="D483" s="21"/>
      <c r="E483" s="21" t="s">
        <v>33</v>
      </c>
      <c r="F483" s="21"/>
      <c r="G483" s="21"/>
      <c r="H483" s="21" t="s">
        <v>34</v>
      </c>
      <c r="I483" s="21"/>
      <c r="J483" s="21"/>
    </row>
    <row r="484" spans="1:11" ht="11.25">
      <c r="A484" s="22" t="s">
        <v>35</v>
      </c>
      <c r="B484" s="22" t="str">
        <f>B447</f>
        <v>2005 Certified</v>
      </c>
      <c r="C484" s="22" t="str">
        <f>C447</f>
        <v>2006 Certified</v>
      </c>
      <c r="D484" s="23" t="s">
        <v>67</v>
      </c>
      <c r="E484" s="22" t="str">
        <f>B484</f>
        <v>2005 Certified</v>
      </c>
      <c r="F484" s="22" t="str">
        <f>C484</f>
        <v>2006 Certified</v>
      </c>
      <c r="G484" s="23" t="s">
        <v>67</v>
      </c>
      <c r="H484" s="23" t="str">
        <f>H447</f>
        <v>2005 Total</v>
      </c>
      <c r="I484" s="23" t="str">
        <f>I447</f>
        <v>2006 Total</v>
      </c>
      <c r="J484" s="23" t="s">
        <v>67</v>
      </c>
      <c r="K484" s="23" t="s">
        <v>71</v>
      </c>
    </row>
    <row r="486" spans="1:11" ht="11.25">
      <c r="A486" s="22" t="s">
        <v>36</v>
      </c>
      <c r="B486" s="24"/>
      <c r="C486" s="24"/>
      <c r="E486" s="24"/>
      <c r="F486" s="24"/>
      <c r="G486" s="25"/>
      <c r="H486" s="24">
        <f aca="true" t="shared" si="41" ref="H486:I496">B486+E486</f>
        <v>0</v>
      </c>
      <c r="I486" s="24">
        <f t="shared" si="41"/>
        <v>0</v>
      </c>
      <c r="J486" s="25" t="e">
        <f>(I486-H486)/H486</f>
        <v>#DIV/0!</v>
      </c>
      <c r="K486" s="56" t="e">
        <f>I486/I497</f>
        <v>#DIV/0!</v>
      </c>
    </row>
    <row r="487" spans="1:11" ht="11.25">
      <c r="A487" s="22" t="s">
        <v>37</v>
      </c>
      <c r="B487" s="24"/>
      <c r="C487" s="24"/>
      <c r="E487" s="24"/>
      <c r="F487" s="24"/>
      <c r="G487" s="25"/>
      <c r="H487" s="24">
        <f t="shared" si="41"/>
        <v>0</v>
      </c>
      <c r="I487" s="24">
        <f t="shared" si="41"/>
        <v>0</v>
      </c>
      <c r="J487" s="25"/>
      <c r="K487" s="56" t="e">
        <f>I487/I497</f>
        <v>#DIV/0!</v>
      </c>
    </row>
    <row r="488" spans="1:11" ht="11.25">
      <c r="A488" s="22" t="s">
        <v>38</v>
      </c>
      <c r="B488" s="24"/>
      <c r="C488" s="24"/>
      <c r="E488" s="24"/>
      <c r="F488" s="24"/>
      <c r="G488" s="25"/>
      <c r="H488" s="24">
        <f t="shared" si="41"/>
        <v>0</v>
      </c>
      <c r="I488" s="24">
        <f t="shared" si="41"/>
        <v>0</v>
      </c>
      <c r="J488" s="25" t="e">
        <f aca="true" t="shared" si="42" ref="J488:J494">(I488-H488)/H488</f>
        <v>#DIV/0!</v>
      </c>
      <c r="K488" s="56" t="e">
        <f>I488/I497</f>
        <v>#DIV/0!</v>
      </c>
    </row>
    <row r="489" spans="1:11" ht="11.25">
      <c r="A489" s="22" t="s">
        <v>39</v>
      </c>
      <c r="B489" s="24"/>
      <c r="C489" s="24"/>
      <c r="E489" s="24"/>
      <c r="F489" s="24"/>
      <c r="G489" s="25"/>
      <c r="H489" s="24">
        <f t="shared" si="41"/>
        <v>0</v>
      </c>
      <c r="I489" s="24">
        <f t="shared" si="41"/>
        <v>0</v>
      </c>
      <c r="J489" s="25" t="e">
        <f t="shared" si="42"/>
        <v>#DIV/0!</v>
      </c>
      <c r="K489" s="56" t="e">
        <f>I489/I497</f>
        <v>#DIV/0!</v>
      </c>
    </row>
    <row r="490" spans="1:11" ht="11.25">
      <c r="A490" s="22" t="s">
        <v>40</v>
      </c>
      <c r="B490" s="24"/>
      <c r="C490" s="24"/>
      <c r="D490" s="25"/>
      <c r="E490" s="24"/>
      <c r="F490" s="24"/>
      <c r="G490" s="25"/>
      <c r="H490" s="24">
        <f t="shared" si="41"/>
        <v>0</v>
      </c>
      <c r="I490" s="24">
        <f t="shared" si="41"/>
        <v>0</v>
      </c>
      <c r="J490" s="25" t="e">
        <f t="shared" si="42"/>
        <v>#DIV/0!</v>
      </c>
      <c r="K490" s="56" t="e">
        <f>I490/I497</f>
        <v>#DIV/0!</v>
      </c>
    </row>
    <row r="491" spans="1:11" ht="11.25">
      <c r="A491" s="22" t="s">
        <v>41</v>
      </c>
      <c r="B491" s="24"/>
      <c r="C491" s="24"/>
      <c r="D491" s="25"/>
      <c r="E491" s="24"/>
      <c r="F491" s="24"/>
      <c r="G491" s="25"/>
      <c r="H491" s="24">
        <f t="shared" si="41"/>
        <v>0</v>
      </c>
      <c r="I491" s="24">
        <f t="shared" si="41"/>
        <v>0</v>
      </c>
      <c r="J491" s="25" t="e">
        <f t="shared" si="42"/>
        <v>#DIV/0!</v>
      </c>
      <c r="K491" s="56" t="e">
        <f>I491/I497</f>
        <v>#DIV/0!</v>
      </c>
    </row>
    <row r="492" spans="1:11" ht="11.25">
      <c r="A492" s="22" t="s">
        <v>42</v>
      </c>
      <c r="B492" s="24"/>
      <c r="C492" s="24"/>
      <c r="D492" s="25"/>
      <c r="E492" s="24"/>
      <c r="F492" s="24"/>
      <c r="G492" s="25"/>
      <c r="H492" s="24">
        <f t="shared" si="41"/>
        <v>0</v>
      </c>
      <c r="I492" s="24">
        <f t="shared" si="41"/>
        <v>0</v>
      </c>
      <c r="J492" s="25" t="e">
        <f t="shared" si="42"/>
        <v>#DIV/0!</v>
      </c>
      <c r="K492" s="56" t="e">
        <f>I492/I497</f>
        <v>#DIV/0!</v>
      </c>
    </row>
    <row r="493" spans="1:11" ht="11.25">
      <c r="A493" s="22" t="s">
        <v>43</v>
      </c>
      <c r="B493" s="24"/>
      <c r="C493" s="24"/>
      <c r="D493" s="25"/>
      <c r="E493" s="24"/>
      <c r="F493" s="24"/>
      <c r="G493" s="25"/>
      <c r="H493" s="24">
        <f t="shared" si="41"/>
        <v>0</v>
      </c>
      <c r="I493" s="24">
        <f t="shared" si="41"/>
        <v>0</v>
      </c>
      <c r="J493" s="25" t="e">
        <f t="shared" si="42"/>
        <v>#DIV/0!</v>
      </c>
      <c r="K493" s="56" t="e">
        <f>I493/I497</f>
        <v>#DIV/0!</v>
      </c>
    </row>
    <row r="494" spans="1:11" ht="11.25">
      <c r="A494" s="22" t="s">
        <v>44</v>
      </c>
      <c r="B494" s="24"/>
      <c r="C494" s="24"/>
      <c r="D494" s="25"/>
      <c r="E494" s="24"/>
      <c r="F494" s="24"/>
      <c r="G494" s="25"/>
      <c r="H494" s="24">
        <f t="shared" si="41"/>
        <v>0</v>
      </c>
      <c r="I494" s="24">
        <f t="shared" si="41"/>
        <v>0</v>
      </c>
      <c r="J494" s="25" t="e">
        <f t="shared" si="42"/>
        <v>#DIV/0!</v>
      </c>
      <c r="K494" s="56" t="e">
        <f>I494/I497</f>
        <v>#DIV/0!</v>
      </c>
    </row>
    <row r="495" spans="1:11" ht="11.25">
      <c r="A495" s="22" t="s">
        <v>45</v>
      </c>
      <c r="B495" s="24"/>
      <c r="C495" s="24"/>
      <c r="D495" s="25"/>
      <c r="E495" s="24"/>
      <c r="F495" s="24"/>
      <c r="G495" s="25"/>
      <c r="H495" s="24">
        <f t="shared" si="41"/>
        <v>0</v>
      </c>
      <c r="I495" s="24">
        <f t="shared" si="41"/>
        <v>0</v>
      </c>
      <c r="J495" s="25"/>
      <c r="K495" s="56" t="e">
        <f>I495/I497</f>
        <v>#DIV/0!</v>
      </c>
    </row>
    <row r="496" spans="1:11" ht="11.25">
      <c r="A496" s="22" t="s">
        <v>46</v>
      </c>
      <c r="B496" s="24"/>
      <c r="C496" s="24"/>
      <c r="D496" s="25"/>
      <c r="E496" s="24"/>
      <c r="F496" s="24"/>
      <c r="G496" s="25"/>
      <c r="H496" s="24">
        <f t="shared" si="41"/>
        <v>0</v>
      </c>
      <c r="I496" s="24">
        <f t="shared" si="41"/>
        <v>0</v>
      </c>
      <c r="J496" s="25" t="e">
        <f>(I496-H496)/H496</f>
        <v>#DIV/0!</v>
      </c>
      <c r="K496" s="64" t="e">
        <f>I496/I497</f>
        <v>#DIV/0!</v>
      </c>
    </row>
    <row r="497" spans="1:11" ht="11.25">
      <c r="A497" s="27" t="s">
        <v>47</v>
      </c>
      <c r="B497" s="28">
        <f>SUM(B486:B496)</f>
        <v>0</v>
      </c>
      <c r="C497" s="28">
        <f>SUM(C486:C496)</f>
        <v>0</v>
      </c>
      <c r="D497" s="29" t="e">
        <f>(C497-B497)/B497</f>
        <v>#DIV/0!</v>
      </c>
      <c r="E497" s="28">
        <f>SUM(E486:E496)</f>
        <v>0</v>
      </c>
      <c r="F497" s="28">
        <f>SUM(F486:F496)</f>
        <v>0</v>
      </c>
      <c r="G497" s="29" t="e">
        <f>(F497-E497)/E497</f>
        <v>#DIV/0!</v>
      </c>
      <c r="H497" s="37">
        <f>SUM(H486:H496)</f>
        <v>0</v>
      </c>
      <c r="I497" s="37">
        <f>SUM(I486:I496)</f>
        <v>0</v>
      </c>
      <c r="J497" s="30" t="e">
        <f>(I497-H497)/H497</f>
        <v>#DIV/0!</v>
      </c>
      <c r="K497" s="25" t="e">
        <f>SUM(K486:K496)</f>
        <v>#DIV/0!</v>
      </c>
    </row>
    <row r="498" spans="1:10" ht="11.25">
      <c r="A498" s="31" t="s">
        <v>48</v>
      </c>
      <c r="H498" s="24"/>
      <c r="I498" s="24"/>
      <c r="J498" s="25"/>
    </row>
    <row r="499" spans="1:10" ht="11.25">
      <c r="A499" s="31" t="s">
        <v>70</v>
      </c>
      <c r="H499" s="67"/>
      <c r="I499" s="67"/>
      <c r="J499" s="25" t="e">
        <f>(I499-H499)/H499</f>
        <v>#DIV/0!</v>
      </c>
    </row>
    <row r="500" spans="1:10" ht="11.25">
      <c r="A500" s="31" t="s">
        <v>49</v>
      </c>
      <c r="H500" s="67"/>
      <c r="I500" s="67"/>
      <c r="J500" s="25" t="e">
        <f>(I500-H500)/H500</f>
        <v>#DIV/0!</v>
      </c>
    </row>
    <row r="501" spans="1:10" ht="11.25">
      <c r="A501" s="27" t="s">
        <v>50</v>
      </c>
      <c r="B501" s="36"/>
      <c r="C501" s="36"/>
      <c r="D501" s="36"/>
      <c r="E501" s="36"/>
      <c r="F501" s="36"/>
      <c r="G501" s="36"/>
      <c r="H501" s="37">
        <f>SUM(H497:H500)</f>
        <v>0</v>
      </c>
      <c r="I501" s="37">
        <f>SUM(I497:I500)</f>
        <v>0</v>
      </c>
      <c r="J501" s="30" t="e">
        <f>(I501-H501)/H501</f>
        <v>#DIV/0!</v>
      </c>
    </row>
    <row r="502" spans="1:10" ht="11.25">
      <c r="A502" s="31" t="s">
        <v>77</v>
      </c>
      <c r="H502" s="68"/>
      <c r="I502" s="68"/>
      <c r="J502" s="25" t="e">
        <f>(I502-H502)/H502</f>
        <v>#DIV/0!</v>
      </c>
    </row>
    <row r="503" spans="1:10" ht="11.25">
      <c r="A503" s="31" t="s">
        <v>78</v>
      </c>
      <c r="H503" s="68"/>
      <c r="I503" s="68"/>
      <c r="J503" s="25" t="e">
        <f>(I503-H503)/H503</f>
        <v>#DIV/0!</v>
      </c>
    </row>
    <row r="504" spans="1:10" ht="11.25">
      <c r="A504" s="31" t="s">
        <v>51</v>
      </c>
      <c r="H504" s="68"/>
      <c r="I504" s="68"/>
      <c r="J504" s="25"/>
    </row>
    <row r="505" spans="1:10" ht="11.25">
      <c r="A505" s="31" t="s">
        <v>52</v>
      </c>
      <c r="H505" s="67"/>
      <c r="I505" s="67"/>
      <c r="J505" s="25" t="e">
        <f>(I505-H505)/H505</f>
        <v>#DIV/0!</v>
      </c>
    </row>
    <row r="506" spans="1:10" ht="11.25">
      <c r="A506" s="31" t="s">
        <v>53</v>
      </c>
      <c r="H506" s="67"/>
      <c r="I506" s="67"/>
      <c r="J506" s="25"/>
    </row>
    <row r="507" spans="1:10" ht="11.25">
      <c r="A507" s="31" t="s">
        <v>54</v>
      </c>
      <c r="H507" s="67"/>
      <c r="I507" s="67"/>
      <c r="J507" s="25"/>
    </row>
    <row r="508" spans="1:10" ht="11.25">
      <c r="A508" s="31" t="s">
        <v>55</v>
      </c>
      <c r="H508" s="67"/>
      <c r="I508" s="67"/>
      <c r="J508" s="25"/>
    </row>
    <row r="509" spans="1:10" ht="11.25">
      <c r="A509" s="31" t="s">
        <v>56</v>
      </c>
      <c r="H509" s="67"/>
      <c r="I509" s="67"/>
      <c r="J509" s="25" t="e">
        <f>(I509-H509)/H509</f>
        <v>#DIV/0!</v>
      </c>
    </row>
    <row r="510" spans="1:10" ht="11.25">
      <c r="A510" s="31" t="s">
        <v>57</v>
      </c>
      <c r="H510" s="68"/>
      <c r="I510" s="68"/>
      <c r="J510" s="25" t="e">
        <f>(I510-H510)/H510</f>
        <v>#DIV/0!</v>
      </c>
    </row>
    <row r="511" spans="1:10" ht="11.25">
      <c r="A511" s="31" t="s">
        <v>58</v>
      </c>
      <c r="H511" s="68"/>
      <c r="I511" s="68"/>
      <c r="J511" s="25" t="e">
        <f>(I511-H511)/H511</f>
        <v>#DIV/0!</v>
      </c>
    </row>
    <row r="512" spans="1:10" ht="11.25">
      <c r="A512" s="31" t="s">
        <v>59</v>
      </c>
      <c r="H512" s="38">
        <v>0</v>
      </c>
      <c r="I512" s="38">
        <v>0</v>
      </c>
      <c r="J512" s="25"/>
    </row>
    <row r="513" spans="1:10" ht="11.25">
      <c r="A513" s="27" t="s">
        <v>60</v>
      </c>
      <c r="B513" s="36"/>
      <c r="C513" s="36"/>
      <c r="D513" s="36"/>
      <c r="E513" s="36"/>
      <c r="F513" s="36"/>
      <c r="G513" s="36"/>
      <c r="H513" s="37">
        <f>SUM(H501:H512)</f>
        <v>0</v>
      </c>
      <c r="I513" s="37">
        <f>SUM(I501:I512)</f>
        <v>0</v>
      </c>
      <c r="J513" s="30" t="e">
        <f>(I513-H513)/H513</f>
        <v>#DIV/0!</v>
      </c>
    </row>
    <row r="514" spans="1:12" ht="12.75">
      <c r="A514" s="39" t="str">
        <f>A477</f>
        <v>2005 Adopted/2006 Revenue Neutral Tax Rate</v>
      </c>
      <c r="E514" s="61"/>
      <c r="F514" s="61"/>
      <c r="G514" s="25" t="e">
        <f>(F514-E514)/E514</f>
        <v>#DIV/0!</v>
      </c>
      <c r="H514" s="43"/>
      <c r="I514" s="44"/>
      <c r="K514" s="52"/>
      <c r="L514" s="52"/>
    </row>
    <row r="515" spans="1:12" ht="12.75">
      <c r="A515" s="52"/>
      <c r="B515" s="40"/>
      <c r="C515" s="40"/>
      <c r="D515" s="40"/>
      <c r="E515" s="40"/>
      <c r="F515" s="40"/>
      <c r="G515" s="40"/>
      <c r="H515" s="43"/>
      <c r="I515" s="44"/>
      <c r="J515" s="52"/>
      <c r="K515" s="52"/>
      <c r="L515" s="52"/>
    </row>
    <row r="516" spans="1:10" ht="12.75">
      <c r="A516" s="52"/>
      <c r="G516" s="42"/>
      <c r="H516" s="52"/>
      <c r="I516" s="54">
        <f>I513</f>
        <v>0</v>
      </c>
      <c r="J516" s="52"/>
    </row>
    <row r="517" spans="1:10" ht="11.25">
      <c r="A517" s="39" t="s">
        <v>62</v>
      </c>
      <c r="H517" s="44">
        <f>(H513*E514)/100</f>
        <v>0</v>
      </c>
      <c r="I517" s="44">
        <f>(I513*F514)/100</f>
        <v>0</v>
      </c>
      <c r="J517" s="25" t="e">
        <f>(I517-H517)/H517</f>
        <v>#DIV/0!</v>
      </c>
    </row>
    <row r="518" spans="1:10" ht="11.25">
      <c r="A518" s="39" t="s">
        <v>18</v>
      </c>
      <c r="H518" s="24"/>
      <c r="I518" s="24"/>
      <c r="J518" s="25" t="e">
        <f>(I518-H518)/H518</f>
        <v>#DIV/0!</v>
      </c>
    </row>
    <row r="519" spans="1:10" ht="11.25">
      <c r="A519" s="39" t="s">
        <v>17</v>
      </c>
      <c r="H519" s="24"/>
      <c r="I519" s="24"/>
      <c r="J519" s="25" t="e">
        <f>(I519-H519)/H519</f>
        <v>#DIV/0!</v>
      </c>
    </row>
    <row r="520" spans="1:10" ht="11.25">
      <c r="A520" s="20" t="s">
        <v>87</v>
      </c>
      <c r="B520" s="21" t="s">
        <v>32</v>
      </c>
      <c r="C520" s="21"/>
      <c r="D520" s="21"/>
      <c r="E520" s="21" t="s">
        <v>33</v>
      </c>
      <c r="F520" s="21"/>
      <c r="G520" s="21"/>
      <c r="H520" s="21" t="s">
        <v>34</v>
      </c>
      <c r="I520" s="21"/>
      <c r="J520" s="21"/>
    </row>
    <row r="521" spans="1:11" ht="11.25">
      <c r="A521" s="22" t="s">
        <v>35</v>
      </c>
      <c r="B521" s="22" t="str">
        <f>B484</f>
        <v>2005 Certified</v>
      </c>
      <c r="C521" s="22" t="str">
        <f>C484</f>
        <v>2006 Certified</v>
      </c>
      <c r="D521" s="23" t="s">
        <v>67</v>
      </c>
      <c r="E521" s="22" t="str">
        <f>B521</f>
        <v>2005 Certified</v>
      </c>
      <c r="F521" s="22" t="str">
        <f>C521</f>
        <v>2006 Certified</v>
      </c>
      <c r="G521" s="23" t="s">
        <v>67</v>
      </c>
      <c r="H521" s="23" t="str">
        <f>H484</f>
        <v>2005 Total</v>
      </c>
      <c r="I521" s="23" t="str">
        <f>I484</f>
        <v>2006 Total</v>
      </c>
      <c r="J521" s="23" t="s">
        <v>67</v>
      </c>
      <c r="K521" s="23" t="s">
        <v>71</v>
      </c>
    </row>
    <row r="522" ht="12">
      <c r="A522" s="74" t="s">
        <v>85</v>
      </c>
    </row>
    <row r="523" spans="1:11" ht="11.25">
      <c r="A523" s="22" t="s">
        <v>36</v>
      </c>
      <c r="B523" s="24">
        <v>0</v>
      </c>
      <c r="C523" s="24">
        <v>0</v>
      </c>
      <c r="E523" s="24">
        <v>31997830</v>
      </c>
      <c r="F523" s="24">
        <v>36046400</v>
      </c>
      <c r="G523" s="25">
        <f>(F523-E523)/E523</f>
        <v>0.1265263925709962</v>
      </c>
      <c r="H523" s="24">
        <f aca="true" t="shared" si="43" ref="H523:I533">B523+E523</f>
        <v>31997830</v>
      </c>
      <c r="I523" s="24">
        <f t="shared" si="43"/>
        <v>36046400</v>
      </c>
      <c r="J523" s="25">
        <f>(I523-H523)/H523</f>
        <v>0.1265263925709962</v>
      </c>
      <c r="K523" s="56">
        <f>I523/I534</f>
        <v>0.3042249717266175</v>
      </c>
    </row>
    <row r="524" spans="1:11" ht="11.25">
      <c r="A524" s="22" t="s">
        <v>37</v>
      </c>
      <c r="B524" s="24">
        <v>0</v>
      </c>
      <c r="C524" s="24">
        <v>0</v>
      </c>
      <c r="E524" s="24">
        <v>0</v>
      </c>
      <c r="F524" s="24">
        <v>0</v>
      </c>
      <c r="G524" s="25"/>
      <c r="H524" s="24">
        <f t="shared" si="43"/>
        <v>0</v>
      </c>
      <c r="I524" s="24">
        <f t="shared" si="43"/>
        <v>0</v>
      </c>
      <c r="J524" s="25"/>
      <c r="K524" s="56">
        <f>I524/I534</f>
        <v>0</v>
      </c>
    </row>
    <row r="525" spans="1:11" ht="11.25">
      <c r="A525" s="22" t="s">
        <v>38</v>
      </c>
      <c r="B525" s="24">
        <v>0</v>
      </c>
      <c r="C525" s="24">
        <v>0</v>
      </c>
      <c r="E525" s="24">
        <v>1376810</v>
      </c>
      <c r="F525" s="24">
        <v>1245500</v>
      </c>
      <c r="G525" s="25">
        <f>(F525-E525)/E525</f>
        <v>-0.09537263674726361</v>
      </c>
      <c r="H525" s="24">
        <f t="shared" si="43"/>
        <v>1376810</v>
      </c>
      <c r="I525" s="24">
        <f t="shared" si="43"/>
        <v>1245500</v>
      </c>
      <c r="J525" s="25">
        <f aca="true" t="shared" si="44" ref="J525:J532">(I525-H525)/H525</f>
        <v>-0.09537263674726361</v>
      </c>
      <c r="K525" s="56">
        <f>I525/I534</f>
        <v>0.010511790422497173</v>
      </c>
    </row>
    <row r="526" spans="1:11" ht="11.25">
      <c r="A526" s="22" t="s">
        <v>39</v>
      </c>
      <c r="B526" s="24">
        <v>0</v>
      </c>
      <c r="C526" s="24">
        <v>0</v>
      </c>
      <c r="E526" s="24">
        <v>31830940</v>
      </c>
      <c r="F526" s="24">
        <f>22745520+11317330</f>
        <v>34062850</v>
      </c>
      <c r="G526" s="25">
        <f>(F526-E526)/E526</f>
        <v>0.07011762769179923</v>
      </c>
      <c r="H526" s="24">
        <f t="shared" si="43"/>
        <v>31830940</v>
      </c>
      <c r="I526" s="24">
        <f t="shared" si="43"/>
        <v>34062850</v>
      </c>
      <c r="J526" s="25">
        <f t="shared" si="44"/>
        <v>0.07011762769179923</v>
      </c>
      <c r="K526" s="56">
        <f>I526/I534</f>
        <v>0.28748417534561044</v>
      </c>
    </row>
    <row r="527" spans="1:11" ht="11.25">
      <c r="A527" s="22" t="s">
        <v>40</v>
      </c>
      <c r="B527" s="24">
        <v>0</v>
      </c>
      <c r="C527" s="24">
        <v>0</v>
      </c>
      <c r="E527" s="24">
        <v>670910</v>
      </c>
      <c r="F527" s="24">
        <v>676990</v>
      </c>
      <c r="G527" s="25">
        <f>(F527-E527)/E527</f>
        <v>0.009062318343742081</v>
      </c>
      <c r="H527" s="24">
        <f t="shared" si="43"/>
        <v>670910</v>
      </c>
      <c r="I527" s="24">
        <f t="shared" si="43"/>
        <v>676990</v>
      </c>
      <c r="J527" s="25">
        <f t="shared" si="44"/>
        <v>0.009062318343742081</v>
      </c>
      <c r="K527" s="56">
        <f>I527/I534</f>
        <v>0.005713670813429435</v>
      </c>
    </row>
    <row r="528" spans="1:11" ht="11.25">
      <c r="A528" s="22" t="s">
        <v>41</v>
      </c>
      <c r="B528" s="24">
        <v>24545250</v>
      </c>
      <c r="C528" s="24">
        <v>32513980</v>
      </c>
      <c r="D528" s="25">
        <f>(C528-B528)/B528</f>
        <v>0.32465466841853313</v>
      </c>
      <c r="E528" s="24">
        <v>0</v>
      </c>
      <c r="F528" s="24">
        <v>0</v>
      </c>
      <c r="G528" s="25"/>
      <c r="H528" s="24">
        <f t="shared" si="43"/>
        <v>24545250</v>
      </c>
      <c r="I528" s="24">
        <f t="shared" si="43"/>
        <v>32513980</v>
      </c>
      <c r="J528" s="25">
        <f t="shared" si="44"/>
        <v>0.32465466841853313</v>
      </c>
      <c r="K528" s="56">
        <f>I528/I534</f>
        <v>0.27441199804196276</v>
      </c>
    </row>
    <row r="529" spans="1:11" ht="11.25">
      <c r="A529" s="22" t="s">
        <v>42</v>
      </c>
      <c r="B529" s="24">
        <v>0</v>
      </c>
      <c r="C529" s="24">
        <v>0</v>
      </c>
      <c r="D529" s="25"/>
      <c r="E529" s="24">
        <v>42170</v>
      </c>
      <c r="F529" s="24">
        <v>42170</v>
      </c>
      <c r="G529" s="25">
        <f aca="true" t="shared" si="45" ref="G529:G534">(F529-E529)/E529</f>
        <v>0</v>
      </c>
      <c r="H529" s="24">
        <f t="shared" si="43"/>
        <v>42170</v>
      </c>
      <c r="I529" s="24">
        <f t="shared" si="43"/>
        <v>42170</v>
      </c>
      <c r="J529" s="25">
        <f t="shared" si="44"/>
        <v>0</v>
      </c>
      <c r="K529" s="56">
        <f>I529/I534</f>
        <v>0.0003559070269905305</v>
      </c>
    </row>
    <row r="530" spans="1:11" ht="11.25">
      <c r="A530" s="22" t="s">
        <v>43</v>
      </c>
      <c r="B530" s="24">
        <v>6132750</v>
      </c>
      <c r="C530" s="24">
        <v>7822140</v>
      </c>
      <c r="D530" s="25">
        <f>(C530-B530)/B530</f>
        <v>0.2754702213525743</v>
      </c>
      <c r="E530" s="24">
        <v>831660</v>
      </c>
      <c r="F530" s="24">
        <v>915910</v>
      </c>
      <c r="G530" s="25">
        <f t="shared" si="45"/>
        <v>0.10130341726186182</v>
      </c>
      <c r="H530" s="24">
        <f t="shared" si="43"/>
        <v>6964410</v>
      </c>
      <c r="I530" s="24">
        <f t="shared" si="43"/>
        <v>8738050</v>
      </c>
      <c r="J530" s="25">
        <f t="shared" si="44"/>
        <v>0.25467196790539326</v>
      </c>
      <c r="K530" s="56">
        <f>I530/I534</f>
        <v>0.07374753135391524</v>
      </c>
    </row>
    <row r="531" spans="1:11" ht="11.25">
      <c r="A531" s="22" t="s">
        <v>44</v>
      </c>
      <c r="B531" s="24">
        <v>0</v>
      </c>
      <c r="C531" s="24">
        <v>0</v>
      </c>
      <c r="D531" s="25"/>
      <c r="E531" s="24">
        <v>5225540</v>
      </c>
      <c r="F531" s="24">
        <v>3477790</v>
      </c>
      <c r="G531" s="25">
        <f t="shared" si="45"/>
        <v>-0.3344630411402458</v>
      </c>
      <c r="H531" s="24">
        <f t="shared" si="43"/>
        <v>5225540</v>
      </c>
      <c r="I531" s="24">
        <f t="shared" si="43"/>
        <v>3477790</v>
      </c>
      <c r="J531" s="25">
        <f t="shared" si="44"/>
        <v>-0.3344630411402458</v>
      </c>
      <c r="K531" s="56">
        <f>I531/I534</f>
        <v>0.029351906554360853</v>
      </c>
    </row>
    <row r="532" spans="1:11" ht="11.25">
      <c r="A532" s="22" t="s">
        <v>45</v>
      </c>
      <c r="B532" s="24">
        <v>0</v>
      </c>
      <c r="C532" s="24">
        <v>0</v>
      </c>
      <c r="D532" s="25"/>
      <c r="E532" s="24">
        <v>159380</v>
      </c>
      <c r="F532" s="24">
        <v>139580</v>
      </c>
      <c r="G532" s="25">
        <f t="shared" si="45"/>
        <v>-0.12423139666206551</v>
      </c>
      <c r="H532" s="24">
        <f t="shared" si="43"/>
        <v>159380</v>
      </c>
      <c r="I532" s="24">
        <f t="shared" si="43"/>
        <v>139580</v>
      </c>
      <c r="J532" s="25">
        <f t="shared" si="44"/>
        <v>-0.12423139666206551</v>
      </c>
      <c r="K532" s="56">
        <f>I532/I534</f>
        <v>0.0011780294718363351</v>
      </c>
    </row>
    <row r="533" spans="1:11" ht="11.25">
      <c r="A533" s="22" t="s">
        <v>46</v>
      </c>
      <c r="B533" s="24">
        <v>0</v>
      </c>
      <c r="C533" s="24">
        <v>0</v>
      </c>
      <c r="D533" s="25"/>
      <c r="E533" s="24">
        <v>1429030</v>
      </c>
      <c r="F533" s="24">
        <v>1542690</v>
      </c>
      <c r="G533" s="25">
        <f t="shared" si="45"/>
        <v>0.07953646879351728</v>
      </c>
      <c r="H533" s="24">
        <f t="shared" si="43"/>
        <v>1429030</v>
      </c>
      <c r="I533" s="24">
        <f t="shared" si="43"/>
        <v>1542690</v>
      </c>
      <c r="J533" s="25">
        <f>(I533-H533)/H533</f>
        <v>0.07953646879351728</v>
      </c>
      <c r="K533" s="64">
        <f>I533/I534</f>
        <v>0.013020019242779738</v>
      </c>
    </row>
    <row r="534" spans="1:11" ht="11.25">
      <c r="A534" s="27" t="s">
        <v>47</v>
      </c>
      <c r="B534" s="28">
        <f>SUM(B523:B533)</f>
        <v>30678000</v>
      </c>
      <c r="C534" s="28">
        <f>SUM(C523:C533)</f>
        <v>40336120</v>
      </c>
      <c r="D534" s="29">
        <f>(C534-B534)/B534</f>
        <v>0.3148223482625986</v>
      </c>
      <c r="E534" s="28">
        <f>SUM(E523:E533)</f>
        <v>73564270</v>
      </c>
      <c r="F534" s="28">
        <f>SUM(F523:F533)</f>
        <v>78149880</v>
      </c>
      <c r="G534" s="29">
        <f t="shared" si="45"/>
        <v>0.06233474484284286</v>
      </c>
      <c r="H534" s="37">
        <f>SUM(H523:H533)</f>
        <v>104242270</v>
      </c>
      <c r="I534" s="37">
        <f>SUM(I523:I533)</f>
        <v>118486000</v>
      </c>
      <c r="J534" s="30">
        <f>(I534-H534)/H534</f>
        <v>0.1366406353200098</v>
      </c>
      <c r="K534" s="25">
        <f>SUM(K523:K533)</f>
        <v>0.9999999999999999</v>
      </c>
    </row>
    <row r="535" spans="1:10" ht="11.25">
      <c r="A535" s="31" t="s">
        <v>73</v>
      </c>
      <c r="H535" s="67">
        <v>-90490</v>
      </c>
      <c r="I535" s="67">
        <f>-103560-300</f>
        <v>-103860</v>
      </c>
      <c r="J535" s="25"/>
    </row>
    <row r="536" spans="1:10" ht="11.25">
      <c r="A536" s="31" t="s">
        <v>70</v>
      </c>
      <c r="H536" s="67">
        <v>-772400</v>
      </c>
      <c r="I536" s="67">
        <v>-1008180</v>
      </c>
      <c r="J536" s="25">
        <f>(I536-H536)/H536</f>
        <v>0.30525634386328326</v>
      </c>
    </row>
    <row r="537" spans="1:10" ht="11.25">
      <c r="A537" s="31" t="s">
        <v>49</v>
      </c>
      <c r="H537" s="67">
        <v>-14616990</v>
      </c>
      <c r="I537" s="67">
        <v>-15169340</v>
      </c>
      <c r="J537" s="25">
        <f>(I537-H537)/H537</f>
        <v>0.037788217683668114</v>
      </c>
    </row>
    <row r="538" spans="1:10" ht="11.25">
      <c r="A538" s="27" t="s">
        <v>50</v>
      </c>
      <c r="B538" s="36"/>
      <c r="C538" s="36"/>
      <c r="D538" s="36"/>
      <c r="E538" s="36"/>
      <c r="F538" s="36"/>
      <c r="G538" s="36"/>
      <c r="H538" s="37">
        <f>SUM(H534:H537)</f>
        <v>88762390</v>
      </c>
      <c r="I538" s="37">
        <f>SUM(I534:I537)</f>
        <v>102204620</v>
      </c>
      <c r="J538" s="30">
        <f>(I538-H538)/H538</f>
        <v>0.15144060451729613</v>
      </c>
    </row>
    <row r="539" spans="1:10" ht="11.25">
      <c r="A539" s="31" t="s">
        <v>77</v>
      </c>
      <c r="H539" s="68">
        <v>-400</v>
      </c>
      <c r="I539" s="68">
        <v>-2470</v>
      </c>
      <c r="J539" s="25">
        <f>(I539-H539)/H539</f>
        <v>5.175</v>
      </c>
    </row>
    <row r="540" spans="1:10" ht="11.25">
      <c r="A540" s="31" t="s">
        <v>78</v>
      </c>
      <c r="H540" s="38">
        <v>0</v>
      </c>
      <c r="I540" s="38">
        <v>0</v>
      </c>
      <c r="J540" s="25"/>
    </row>
    <row r="541" spans="1:10" ht="11.25">
      <c r="A541" s="31" t="s">
        <v>51</v>
      </c>
      <c r="H541" s="38">
        <v>0</v>
      </c>
      <c r="I541" s="38">
        <v>0</v>
      </c>
      <c r="J541" s="25"/>
    </row>
    <row r="542" spans="1:10" ht="11.25">
      <c r="A542" s="31" t="s">
        <v>52</v>
      </c>
      <c r="H542" s="67">
        <v>-1493900</v>
      </c>
      <c r="I542" s="67">
        <f>-1542730-59180-2210</f>
        <v>-1604120</v>
      </c>
      <c r="J542" s="25">
        <f>(I542-H542)/H542</f>
        <v>0.07378003882455318</v>
      </c>
    </row>
    <row r="543" spans="1:10" ht="11.25">
      <c r="A543" s="31" t="s">
        <v>53</v>
      </c>
      <c r="H543" s="67">
        <v>0</v>
      </c>
      <c r="I543" s="67">
        <v>0</v>
      </c>
      <c r="J543" s="25"/>
    </row>
    <row r="544" spans="1:10" ht="11.25">
      <c r="A544" s="31" t="s">
        <v>54</v>
      </c>
      <c r="H544" s="67">
        <v>0</v>
      </c>
      <c r="I544" s="67">
        <v>0</v>
      </c>
      <c r="J544" s="25"/>
    </row>
    <row r="545" spans="1:10" ht="11.25">
      <c r="A545" s="31" t="s">
        <v>55</v>
      </c>
      <c r="H545" s="67">
        <v>0</v>
      </c>
      <c r="I545" s="67">
        <v>0</v>
      </c>
      <c r="J545" s="25"/>
    </row>
    <row r="546" spans="1:10" ht="11.25">
      <c r="A546" s="31" t="s">
        <v>56</v>
      </c>
      <c r="H546" s="67">
        <v>-164450</v>
      </c>
      <c r="I546" s="67">
        <v>-221950</v>
      </c>
      <c r="J546" s="25">
        <f>(I546-H546)/H546</f>
        <v>0.34965034965034963</v>
      </c>
    </row>
    <row r="547" spans="1:10" ht="11.25">
      <c r="A547" s="31" t="s">
        <v>57</v>
      </c>
      <c r="H547" s="68">
        <v>-7388808</v>
      </c>
      <c r="I547" s="68">
        <v>-7756046</v>
      </c>
      <c r="J547" s="25">
        <f>(I547-H547)/H547</f>
        <v>0.04970192756395889</v>
      </c>
    </row>
    <row r="548" spans="1:10" ht="11.25">
      <c r="A548" s="31" t="s">
        <v>58</v>
      </c>
      <c r="H548" s="68">
        <v>-1041440</v>
      </c>
      <c r="I548" s="68">
        <v>-1081220</v>
      </c>
      <c r="J548" s="25">
        <f>(I548-H548)/H548</f>
        <v>0.03819711169150407</v>
      </c>
    </row>
    <row r="549" spans="1:10" ht="11.25">
      <c r="A549" s="31" t="s">
        <v>59</v>
      </c>
      <c r="H549" s="38">
        <v>0</v>
      </c>
      <c r="I549" s="38">
        <v>0</v>
      </c>
      <c r="J549" s="25"/>
    </row>
    <row r="550" spans="1:10" ht="11.25">
      <c r="A550" s="27" t="s">
        <v>60</v>
      </c>
      <c r="B550" s="36"/>
      <c r="C550" s="36"/>
      <c r="D550" s="36"/>
      <c r="E550" s="36"/>
      <c r="F550" s="36"/>
      <c r="G550" s="36"/>
      <c r="H550" s="37">
        <f>SUM(H538:H549)</f>
        <v>78673392</v>
      </c>
      <c r="I550" s="37">
        <f>SUM(I538:I549)</f>
        <v>91538814</v>
      </c>
      <c r="J550" s="30">
        <f>(I550-H550)/H550</f>
        <v>0.16352951961191656</v>
      </c>
    </row>
    <row r="551" spans="1:12" ht="12.75">
      <c r="A551" s="39" t="str">
        <f>A514</f>
        <v>2005 Adopted/2006 Revenue Neutral Tax Rate</v>
      </c>
      <c r="E551" s="61">
        <v>0.1</v>
      </c>
      <c r="F551" s="61">
        <v>0.08594</v>
      </c>
      <c r="G551" s="25">
        <f>(F551-E551)/E551</f>
        <v>-0.14060000000000003</v>
      </c>
      <c r="H551" s="43" t="s">
        <v>95</v>
      </c>
      <c r="I551" s="44">
        <f>7762660+32408210</f>
        <v>40170870</v>
      </c>
      <c r="K551" s="52"/>
      <c r="L551" s="52"/>
    </row>
    <row r="552" spans="1:12" ht="12.75">
      <c r="A552" s="52"/>
      <c r="B552" s="40"/>
      <c r="C552" s="40"/>
      <c r="D552" s="40"/>
      <c r="E552" s="40"/>
      <c r="F552" s="40"/>
      <c r="G552" s="40"/>
      <c r="H552" s="43" t="s">
        <v>96</v>
      </c>
      <c r="I552" s="44">
        <v>51367944</v>
      </c>
      <c r="J552" s="52"/>
      <c r="K552" s="63"/>
      <c r="L552" s="52"/>
    </row>
    <row r="553" spans="1:10" ht="12.75">
      <c r="A553" s="52"/>
      <c r="G553" s="42"/>
      <c r="H553" s="52"/>
      <c r="I553" s="54">
        <f>SUM(I551:I552)</f>
        <v>91538814</v>
      </c>
      <c r="J553" s="52"/>
    </row>
    <row r="554" spans="1:10" ht="11.25">
      <c r="A554" s="39" t="s">
        <v>62</v>
      </c>
      <c r="H554" s="44">
        <f>(H550*E551)/100</f>
        <v>78673.392</v>
      </c>
      <c r="I554" s="44">
        <f>(I550*F551)/100</f>
        <v>78668.4567516</v>
      </c>
      <c r="J554" s="25">
        <f>(I554-H554)/H554</f>
        <v>-6.273084551905319E-05</v>
      </c>
    </row>
    <row r="555" spans="1:10" ht="11.25">
      <c r="A555" s="39" t="s">
        <v>18</v>
      </c>
      <c r="H555" s="24">
        <v>666506</v>
      </c>
      <c r="I555" s="24">
        <v>726418</v>
      </c>
      <c r="J555" s="25">
        <f>(I555-H555)/H555</f>
        <v>0.08988966340888153</v>
      </c>
    </row>
    <row r="556" spans="1:10" ht="11.25">
      <c r="A556" s="39" t="s">
        <v>17</v>
      </c>
      <c r="H556" s="24">
        <v>6744</v>
      </c>
      <c r="I556" s="24">
        <f>2462+2210+51</f>
        <v>4723</v>
      </c>
      <c r="J556" s="25">
        <f>(I556-H556)/H556</f>
        <v>-0.2996737841043891</v>
      </c>
    </row>
    <row r="557" spans="1:10" ht="11.25">
      <c r="A557" s="20" t="s">
        <v>88</v>
      </c>
      <c r="B557" s="21" t="s">
        <v>32</v>
      </c>
      <c r="C557" s="21"/>
      <c r="D557" s="21"/>
      <c r="E557" s="21" t="s">
        <v>33</v>
      </c>
      <c r="F557" s="21"/>
      <c r="G557" s="21"/>
      <c r="H557" s="21" t="s">
        <v>34</v>
      </c>
      <c r="I557" s="21"/>
      <c r="J557" s="21"/>
    </row>
    <row r="558" spans="1:11" ht="11.25">
      <c r="A558" s="22" t="s">
        <v>35</v>
      </c>
      <c r="B558" s="22" t="str">
        <f>B521</f>
        <v>2005 Certified</v>
      </c>
      <c r="C558" s="22" t="str">
        <f>C521</f>
        <v>2006 Certified</v>
      </c>
      <c r="D558" s="23" t="s">
        <v>67</v>
      </c>
      <c r="E558" s="22" t="str">
        <f>B558</f>
        <v>2005 Certified</v>
      </c>
      <c r="F558" s="22" t="str">
        <f>C558</f>
        <v>2006 Certified</v>
      </c>
      <c r="G558" s="23" t="s">
        <v>67</v>
      </c>
      <c r="H558" s="23" t="str">
        <f>H521</f>
        <v>2005 Total</v>
      </c>
      <c r="I558" s="23" t="str">
        <f>I521</f>
        <v>2006 Total</v>
      </c>
      <c r="J558" s="23" t="s">
        <v>67</v>
      </c>
      <c r="K558" s="23" t="s">
        <v>71</v>
      </c>
    </row>
    <row r="560" spans="1:11" ht="11.25">
      <c r="A560" s="22" t="s">
        <v>36</v>
      </c>
      <c r="B560" s="24">
        <v>0</v>
      </c>
      <c r="C560" s="24">
        <v>0</v>
      </c>
      <c r="E560" s="24">
        <v>202736350</v>
      </c>
      <c r="F560" s="24">
        <v>220294240</v>
      </c>
      <c r="G560" s="25">
        <f>(F560-E560)/E560</f>
        <v>0.08660454822235875</v>
      </c>
      <c r="H560" s="24">
        <f aca="true" t="shared" si="46" ref="H560:I570">B560+E560</f>
        <v>202736350</v>
      </c>
      <c r="I560" s="24">
        <f t="shared" si="46"/>
        <v>220294240</v>
      </c>
      <c r="J560" s="25">
        <f>(I560-H560)/H560</f>
        <v>0.08660454822235875</v>
      </c>
      <c r="K560" s="56">
        <f>I560/I571</f>
        <v>0.2406173859617984</v>
      </c>
    </row>
    <row r="561" spans="1:11" ht="11.25">
      <c r="A561" s="22" t="s">
        <v>37</v>
      </c>
      <c r="B561" s="24">
        <v>0</v>
      </c>
      <c r="C561" s="24">
        <v>0</v>
      </c>
      <c r="E561" s="24">
        <v>769510</v>
      </c>
      <c r="F561" s="24">
        <v>767560</v>
      </c>
      <c r="G561" s="25">
        <f aca="true" t="shared" si="47" ref="G561:G570">(F561-E561)/E561</f>
        <v>-0.0025340801289132045</v>
      </c>
      <c r="H561" s="24">
        <f t="shared" si="46"/>
        <v>769510</v>
      </c>
      <c r="I561" s="24">
        <f t="shared" si="46"/>
        <v>767560</v>
      </c>
      <c r="J561" s="25">
        <f>(I561-H561)/H561</f>
        <v>-0.0025340801289132045</v>
      </c>
      <c r="K561" s="56">
        <f>I561/I571</f>
        <v>0.00083837090233879</v>
      </c>
    </row>
    <row r="562" spans="1:11" ht="11.25">
      <c r="A562" s="22" t="s">
        <v>38</v>
      </c>
      <c r="B562" s="24">
        <v>0</v>
      </c>
      <c r="C562" s="24">
        <v>0</v>
      </c>
      <c r="E562" s="24">
        <v>5004500</v>
      </c>
      <c r="F562" s="24">
        <v>6437460</v>
      </c>
      <c r="G562" s="25">
        <f t="shared" si="47"/>
        <v>0.2863342991307823</v>
      </c>
      <c r="H562" s="24">
        <f t="shared" si="46"/>
        <v>5004500</v>
      </c>
      <c r="I562" s="24">
        <f t="shared" si="46"/>
        <v>6437460</v>
      </c>
      <c r="J562" s="25">
        <f aca="true" t="shared" si="48" ref="J562:J569">(I562-H562)/H562</f>
        <v>0.2863342991307823</v>
      </c>
      <c r="K562" s="56">
        <f>I562/I571</f>
        <v>0.007031344974946411</v>
      </c>
    </row>
    <row r="563" spans="1:11" ht="11.25">
      <c r="A563" s="22" t="s">
        <v>39</v>
      </c>
      <c r="B563" s="24">
        <v>0</v>
      </c>
      <c r="C563" s="24">
        <v>0</v>
      </c>
      <c r="E563" s="24">
        <v>47168410</v>
      </c>
      <c r="F563" s="24">
        <f>25507880+30124350</f>
        <v>55632230</v>
      </c>
      <c r="G563" s="25">
        <f t="shared" si="47"/>
        <v>0.1794383147534547</v>
      </c>
      <c r="H563" s="24">
        <f t="shared" si="46"/>
        <v>47168410</v>
      </c>
      <c r="I563" s="24">
        <f t="shared" si="46"/>
        <v>55632230</v>
      </c>
      <c r="J563" s="25">
        <f t="shared" si="48"/>
        <v>0.1794383147534547</v>
      </c>
      <c r="K563" s="56">
        <f>I563/I571</f>
        <v>0.060764556339855</v>
      </c>
    </row>
    <row r="564" spans="1:11" ht="11.25">
      <c r="A564" s="22" t="s">
        <v>40</v>
      </c>
      <c r="B564" s="24">
        <v>0</v>
      </c>
      <c r="C564" s="24">
        <v>0</v>
      </c>
      <c r="E564" s="24">
        <v>34119860</v>
      </c>
      <c r="F564" s="24">
        <v>34857830</v>
      </c>
      <c r="G564" s="25">
        <f t="shared" si="47"/>
        <v>0.021628752286791328</v>
      </c>
      <c r="H564" s="24">
        <f t="shared" si="46"/>
        <v>34119860</v>
      </c>
      <c r="I564" s="24">
        <f t="shared" si="46"/>
        <v>34857830</v>
      </c>
      <c r="J564" s="25">
        <f t="shared" si="48"/>
        <v>0.021628752286791328</v>
      </c>
      <c r="K564" s="56">
        <f>I564/I571</f>
        <v>0.038073623417937554</v>
      </c>
    </row>
    <row r="565" spans="1:11" ht="11.25">
      <c r="A565" s="22" t="s">
        <v>41</v>
      </c>
      <c r="B565" s="24">
        <v>30301220</v>
      </c>
      <c r="C565" s="24">
        <v>50720690</v>
      </c>
      <c r="D565" s="25">
        <f>(C565-B565)/B565</f>
        <v>0.6738827677565458</v>
      </c>
      <c r="E565" s="24">
        <v>0</v>
      </c>
      <c r="F565" s="24">
        <v>0</v>
      </c>
      <c r="G565" s="25"/>
      <c r="H565" s="24">
        <f t="shared" si="46"/>
        <v>30301220</v>
      </c>
      <c r="I565" s="24">
        <f t="shared" si="46"/>
        <v>50720690</v>
      </c>
      <c r="J565" s="25">
        <f t="shared" si="48"/>
        <v>0.6738827677565458</v>
      </c>
      <c r="K565" s="56">
        <f>I565/I571</f>
        <v>0.05539990442772688</v>
      </c>
    </row>
    <row r="566" spans="1:11" ht="11.25">
      <c r="A566" s="22" t="s">
        <v>42</v>
      </c>
      <c r="B566" s="24">
        <v>0</v>
      </c>
      <c r="C566" s="24">
        <v>0</v>
      </c>
      <c r="D566" s="25"/>
      <c r="E566" s="24">
        <v>71920</v>
      </c>
      <c r="F566" s="24">
        <v>71920</v>
      </c>
      <c r="G566" s="25">
        <f t="shared" si="47"/>
        <v>0</v>
      </c>
      <c r="H566" s="24">
        <f t="shared" si="46"/>
        <v>71920</v>
      </c>
      <c r="I566" s="24">
        <f t="shared" si="46"/>
        <v>71920</v>
      </c>
      <c r="J566" s="25">
        <f t="shared" si="48"/>
        <v>0</v>
      </c>
      <c r="K566" s="56">
        <f>I566/I571</f>
        <v>7.855494723045205E-05</v>
      </c>
    </row>
    <row r="567" spans="1:11" ht="11.25">
      <c r="A567" s="22" t="s">
        <v>43</v>
      </c>
      <c r="B567" s="24">
        <v>469699520</v>
      </c>
      <c r="C567" s="24">
        <v>490277240</v>
      </c>
      <c r="D567" s="25">
        <f>(C567-B567)/B567</f>
        <v>0.04381039180112426</v>
      </c>
      <c r="E567" s="24">
        <v>35977590</v>
      </c>
      <c r="F567" s="24">
        <f>41073080+1178580</f>
        <v>42251660</v>
      </c>
      <c r="G567" s="25">
        <f t="shared" si="47"/>
        <v>0.17438827892585357</v>
      </c>
      <c r="H567" s="24">
        <f t="shared" si="46"/>
        <v>505677110</v>
      </c>
      <c r="I567" s="24">
        <f t="shared" si="46"/>
        <v>532528900</v>
      </c>
      <c r="J567" s="25">
        <f t="shared" si="48"/>
        <v>0.053100663385772</v>
      </c>
      <c r="K567" s="56">
        <f>I567/I571</f>
        <v>0.5816571139904154</v>
      </c>
    </row>
    <row r="568" spans="1:11" ht="11.25">
      <c r="A568" s="22" t="s">
        <v>44</v>
      </c>
      <c r="B568" s="24">
        <v>0</v>
      </c>
      <c r="C568" s="24">
        <v>0</v>
      </c>
      <c r="D568" s="25"/>
      <c r="E568" s="24">
        <v>12830310</v>
      </c>
      <c r="F568" s="24">
        <v>11586140</v>
      </c>
      <c r="G568" s="25">
        <f t="shared" si="47"/>
        <v>-0.0969711565815635</v>
      </c>
      <c r="H568" s="24">
        <f t="shared" si="46"/>
        <v>12830310</v>
      </c>
      <c r="I568" s="24">
        <f t="shared" si="46"/>
        <v>11586140</v>
      </c>
      <c r="J568" s="25">
        <f t="shared" si="48"/>
        <v>-0.0969711565815635</v>
      </c>
      <c r="K568" s="56">
        <f>I568/I571</f>
        <v>0.01265501413104324</v>
      </c>
    </row>
    <row r="569" spans="1:11" ht="11.25">
      <c r="A569" s="22" t="s">
        <v>45</v>
      </c>
      <c r="B569" s="24">
        <v>0</v>
      </c>
      <c r="C569" s="24">
        <v>0</v>
      </c>
      <c r="D569" s="25"/>
      <c r="E569" s="24">
        <v>201670</v>
      </c>
      <c r="F569" s="24">
        <v>94230</v>
      </c>
      <c r="G569" s="25">
        <f t="shared" si="47"/>
        <v>-0.5327515247681857</v>
      </c>
      <c r="H569" s="24">
        <f t="shared" si="46"/>
        <v>201670</v>
      </c>
      <c r="I569" s="24">
        <f t="shared" si="46"/>
        <v>94230</v>
      </c>
      <c r="J569" s="25">
        <f t="shared" si="48"/>
        <v>-0.5327515247681857</v>
      </c>
      <c r="K569" s="56">
        <f>I569/I571</f>
        <v>0.00010292314623923106</v>
      </c>
    </row>
    <row r="570" spans="1:11" ht="11.25">
      <c r="A570" s="22" t="s">
        <v>46</v>
      </c>
      <c r="B570" s="24">
        <v>0</v>
      </c>
      <c r="C570" s="24">
        <v>0</v>
      </c>
      <c r="D570" s="25"/>
      <c r="E570" s="24">
        <v>2055070</v>
      </c>
      <c r="F570" s="24">
        <v>2546300</v>
      </c>
      <c r="G570" s="25">
        <f t="shared" si="47"/>
        <v>0.2390332202796012</v>
      </c>
      <c r="H570" s="24">
        <f t="shared" si="46"/>
        <v>2055070</v>
      </c>
      <c r="I570" s="24">
        <f t="shared" si="46"/>
        <v>2546300</v>
      </c>
      <c r="J570" s="25">
        <f>(I570-H570)/H570</f>
        <v>0.2390332202796012</v>
      </c>
      <c r="K570" s="64">
        <f>I570/I571</f>
        <v>0.0027812077604685774</v>
      </c>
    </row>
    <row r="571" spans="1:11" ht="11.25">
      <c r="A571" s="27" t="s">
        <v>47</v>
      </c>
      <c r="B571" s="28">
        <f>SUM(B560:B570)</f>
        <v>500000740</v>
      </c>
      <c r="C571" s="28">
        <f>SUM(C560:C570)</f>
        <v>540997930</v>
      </c>
      <c r="D571" s="29">
        <f>(C571-B571)/B571</f>
        <v>0.0819942586484972</v>
      </c>
      <c r="E571" s="28">
        <f>SUM(E560:E570)</f>
        <v>340935190</v>
      </c>
      <c r="F571" s="28">
        <f>SUM(F560:F570)</f>
        <v>374539570</v>
      </c>
      <c r="G571" s="29">
        <f>(F571-E571)/E571</f>
        <v>0.09856530210331177</v>
      </c>
      <c r="H571" s="37">
        <f>SUM(H560:H570)</f>
        <v>840935930</v>
      </c>
      <c r="I571" s="37">
        <f>SUM(I560:I570)</f>
        <v>915537500</v>
      </c>
      <c r="J571" s="30">
        <f>(I571-H571)/H571</f>
        <v>0.0887125491236889</v>
      </c>
      <c r="K571" s="25">
        <f>SUM(K560:K570)</f>
        <v>0.9999999999999999</v>
      </c>
    </row>
    <row r="572" spans="1:10" ht="11.25">
      <c r="A572" s="31" t="s">
        <v>73</v>
      </c>
      <c r="H572" s="67">
        <v>-80680</v>
      </c>
      <c r="I572" s="67">
        <f>-74600-80</f>
        <v>-74680</v>
      </c>
      <c r="J572" s="25"/>
    </row>
    <row r="573" spans="1:10" ht="11.25">
      <c r="A573" s="31" t="s">
        <v>70</v>
      </c>
      <c r="F573" s="48"/>
      <c r="H573" s="67">
        <v>-2153730</v>
      </c>
      <c r="I573" s="67">
        <v>-3487380</v>
      </c>
      <c r="J573" s="25">
        <f aca="true" t="shared" si="49" ref="J573:J587">(I573-H573)/H573</f>
        <v>0.6192280369405636</v>
      </c>
    </row>
    <row r="574" spans="1:10" ht="11.25">
      <c r="A574" s="31" t="s">
        <v>49</v>
      </c>
      <c r="H574" s="67">
        <v>-18995100</v>
      </c>
      <c r="I574" s="67">
        <v>-18944030</v>
      </c>
      <c r="J574" s="26">
        <f t="shared" si="49"/>
        <v>-0.0026885881095650983</v>
      </c>
    </row>
    <row r="575" spans="1:10" ht="11.25">
      <c r="A575" s="27" t="s">
        <v>50</v>
      </c>
      <c r="B575" s="36"/>
      <c r="C575" s="36"/>
      <c r="D575" s="36"/>
      <c r="E575" s="36"/>
      <c r="F575" s="36"/>
      <c r="G575" s="36"/>
      <c r="H575" s="37">
        <f>SUM(H571:H574)</f>
        <v>819706420</v>
      </c>
      <c r="I575" s="37">
        <f>SUM(I571:I574)</f>
        <v>893031410</v>
      </c>
      <c r="J575" s="30">
        <f t="shared" si="49"/>
        <v>0.08945274577695755</v>
      </c>
    </row>
    <row r="576" spans="1:11" ht="11.25">
      <c r="A576" s="31" t="s">
        <v>77</v>
      </c>
      <c r="H576" s="68">
        <v>-2160</v>
      </c>
      <c r="I576" s="68">
        <v>-2870</v>
      </c>
      <c r="J576" s="25">
        <f t="shared" si="49"/>
        <v>0.3287037037037037</v>
      </c>
      <c r="K576" s="56"/>
    </row>
    <row r="577" spans="1:11" ht="11.25">
      <c r="A577" s="31" t="s">
        <v>78</v>
      </c>
      <c r="H577" s="68">
        <v>0</v>
      </c>
      <c r="I577" s="68">
        <v>0</v>
      </c>
      <c r="J577" s="25"/>
      <c r="K577" s="56"/>
    </row>
    <row r="578" spans="1:11" ht="11.25">
      <c r="A578" s="31" t="s">
        <v>51</v>
      </c>
      <c r="H578" s="38">
        <v>0</v>
      </c>
      <c r="I578" s="38">
        <v>0</v>
      </c>
      <c r="J578" s="25"/>
      <c r="K578" s="56"/>
    </row>
    <row r="579" spans="1:11" ht="11.25">
      <c r="A579" s="31" t="s">
        <v>52</v>
      </c>
      <c r="H579" s="67">
        <v>-2079010</v>
      </c>
      <c r="I579" s="67">
        <f>-2726440-13730</f>
        <v>-2740170</v>
      </c>
      <c r="J579" s="25">
        <f t="shared" si="49"/>
        <v>0.31801674835618876</v>
      </c>
      <c r="K579" s="56"/>
    </row>
    <row r="580" spans="1:11" ht="11.25">
      <c r="A580" s="31" t="s">
        <v>53</v>
      </c>
      <c r="H580" s="67">
        <v>0</v>
      </c>
      <c r="I580" s="67">
        <v>0</v>
      </c>
      <c r="J580" s="25"/>
      <c r="K580" s="56"/>
    </row>
    <row r="581" spans="1:11" ht="11.25">
      <c r="A581" s="31" t="s">
        <v>54</v>
      </c>
      <c r="H581" s="67">
        <v>0</v>
      </c>
      <c r="I581" s="67">
        <v>0</v>
      </c>
      <c r="J581" s="25"/>
      <c r="K581" s="56"/>
    </row>
    <row r="582" spans="1:11" ht="11.25">
      <c r="A582" s="31" t="s">
        <v>55</v>
      </c>
      <c r="H582" s="67">
        <v>0</v>
      </c>
      <c r="I582" s="67">
        <v>0</v>
      </c>
      <c r="J582" s="25"/>
      <c r="K582" s="56"/>
    </row>
    <row r="583" spans="1:11" ht="11.25">
      <c r="A583" s="31" t="s">
        <v>56</v>
      </c>
      <c r="H583" s="67">
        <v>-557690</v>
      </c>
      <c r="I583" s="67">
        <v>-559430</v>
      </c>
      <c r="J583" s="25">
        <f t="shared" si="49"/>
        <v>0.00312001291039825</v>
      </c>
      <c r="K583" s="56"/>
    </row>
    <row r="584" spans="1:11" ht="11.25">
      <c r="A584" s="31" t="s">
        <v>57</v>
      </c>
      <c r="H584" s="68">
        <v>-42256858</v>
      </c>
      <c r="I584" s="68">
        <v>-45902088</v>
      </c>
      <c r="J584" s="25">
        <f t="shared" si="49"/>
        <v>0.08626363086436763</v>
      </c>
      <c r="K584" s="56"/>
    </row>
    <row r="585" spans="1:11" ht="11.25">
      <c r="A585" s="31" t="s">
        <v>58</v>
      </c>
      <c r="H585" s="68">
        <v>-3452230</v>
      </c>
      <c r="I585" s="68">
        <v>-3682270</v>
      </c>
      <c r="J585" s="25">
        <f t="shared" si="49"/>
        <v>0.06663518942828259</v>
      </c>
      <c r="K585" s="56"/>
    </row>
    <row r="586" spans="1:11" ht="11.25">
      <c r="A586" s="31" t="s">
        <v>59</v>
      </c>
      <c r="H586" s="38">
        <v>0</v>
      </c>
      <c r="I586" s="38">
        <v>0</v>
      </c>
      <c r="J586" s="25"/>
      <c r="K586" s="42"/>
    </row>
    <row r="587" spans="1:11" ht="11.25">
      <c r="A587" s="27" t="s">
        <v>60</v>
      </c>
      <c r="B587" s="36"/>
      <c r="C587" s="36"/>
      <c r="D587" s="36"/>
      <c r="E587" s="36"/>
      <c r="F587" s="36"/>
      <c r="G587" s="36"/>
      <c r="H587" s="37">
        <f>SUM(H575:H586)</f>
        <v>771358472</v>
      </c>
      <c r="I587" s="37">
        <f>SUM(I575:I586)</f>
        <v>840144582</v>
      </c>
      <c r="J587" s="30">
        <f t="shared" si="49"/>
        <v>0.08917528295456383</v>
      </c>
      <c r="K587" s="25"/>
    </row>
    <row r="588" spans="1:11" ht="12.75">
      <c r="A588" s="39" t="str">
        <f>A551</f>
        <v>2005 Adopted/2006 Revenue Neutral Tax Rate</v>
      </c>
      <c r="E588" s="61">
        <v>0.0603</v>
      </c>
      <c r="F588" s="61">
        <v>0.05536</v>
      </c>
      <c r="G588" s="25">
        <f>(F588-E588)/E588</f>
        <v>-0.08192371475953565</v>
      </c>
      <c r="H588" s="43" t="s">
        <v>95</v>
      </c>
      <c r="I588" s="44">
        <f>50632360+490277160</f>
        <v>540909520</v>
      </c>
      <c r="K588" s="52"/>
    </row>
    <row r="589" spans="1:11" ht="12.75">
      <c r="A589" s="52"/>
      <c r="B589" s="40"/>
      <c r="C589" s="40"/>
      <c r="D589" s="40"/>
      <c r="E589" s="40"/>
      <c r="F589" s="40"/>
      <c r="G589" s="40"/>
      <c r="H589" s="43" t="s">
        <v>96</v>
      </c>
      <c r="I589" s="44">
        <v>299235062</v>
      </c>
      <c r="J589" s="52"/>
      <c r="K589" s="63"/>
    </row>
    <row r="590" spans="1:10" ht="12.75">
      <c r="A590" s="52"/>
      <c r="G590" s="42"/>
      <c r="H590" s="52"/>
      <c r="I590" s="54">
        <f>SUM(I588:I589)</f>
        <v>840144582</v>
      </c>
      <c r="J590" s="25"/>
    </row>
    <row r="591" spans="1:10" ht="11.25">
      <c r="A591" s="39" t="s">
        <v>62</v>
      </c>
      <c r="H591" s="44">
        <f>(H587*E588)/100</f>
        <v>465129.158616</v>
      </c>
      <c r="I591" s="44">
        <f>(I587*F588)/100</f>
        <v>465104.0405952</v>
      </c>
      <c r="J591" s="25">
        <f>(I591-H591)/H591</f>
        <v>-5.400224934239693E-05</v>
      </c>
    </row>
    <row r="592" spans="1:10" ht="11.25">
      <c r="A592" s="39" t="s">
        <v>18</v>
      </c>
      <c r="H592" s="24">
        <v>5780242</v>
      </c>
      <c r="I592" s="24">
        <v>7458960</v>
      </c>
      <c r="J592" s="25">
        <f>(I592-H592)/H592</f>
        <v>0.2904234805393961</v>
      </c>
    </row>
    <row r="593" spans="1:10" ht="11.25">
      <c r="A593" s="39" t="s">
        <v>17</v>
      </c>
      <c r="H593" s="24">
        <v>9423</v>
      </c>
      <c r="I593" s="24">
        <f>5022+82+13730</f>
        <v>18834</v>
      </c>
      <c r="J593" s="25">
        <f>(I593-H593)/H593</f>
        <v>0.9987265202164916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Whitmire</dc:creator>
  <cp:keywords/>
  <dc:description/>
  <cp:lastModifiedBy>Stacy Morris</cp:lastModifiedBy>
  <cp:lastPrinted>2020-01-15T15:02:49Z</cp:lastPrinted>
  <dcterms:created xsi:type="dcterms:W3CDTF">1997-05-05T16:06:53Z</dcterms:created>
  <dcterms:modified xsi:type="dcterms:W3CDTF">2020-01-15T16:50:27Z</dcterms:modified>
  <cp:category/>
  <cp:version/>
  <cp:contentType/>
  <cp:contentStatus/>
</cp:coreProperties>
</file>